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omments6.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7.xml" ContentType="application/vnd.openxmlformats-officedocument.spreadsheetml.comments+xml"/>
  <Override PartName="/xl/threadedComments/threadedComment2.xml" ContentType="application/vnd.ms-excel.threadedcomments+xml"/>
  <Override PartName="/xl/comments8.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10.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comments11.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omments12.xml" ContentType="application/vnd.openxmlformats-officedocument.spreadsheetml.comments+xml"/>
  <Override PartName="/xl/threadedComments/threadedComment5.xml" ContentType="application/vnd.ms-excel.threadedcomments+xml"/>
  <Override PartName="/xl/drawings/drawing13.xml" ContentType="application/vnd.openxmlformats-officedocument.drawing+xml"/>
  <Override PartName="/xl/comments13.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G:\My Drive\Job and career (OIB)\Projects (a)\Sustentável 2030 - mobilidade\Sustentável2030 - Pasta partilhada\2026 01 09 Envio versões finais\"/>
    </mc:Choice>
  </mc:AlternateContent>
  <xr:revisionPtr revIDLastSave="0" documentId="13_ncr:1_{B9D76560-1431-4F04-9D04-7018F497C697}" xr6:coauthVersionLast="47" xr6:coauthVersionMax="47" xr10:uidLastSave="{00000000-0000-0000-0000-000000000000}"/>
  <workbookProtection workbookAlgorithmName="SHA-512" workbookHashValue="BEQl28z6nTdT+hOpgyvc3SzZ5ppl+jw7QdJq/eBIp+b3fdcP1hYVljpvrJGCNlKCoN3Y6qXz+++OUObiYlZbcA==" workbookSaltValue="hK4y0f6319f98mNWJ7jbGg==" workbookSpinCount="100000" lockStructure="1"/>
  <bookViews>
    <workbookView xWindow="-120" yWindow="-120" windowWidth="29040" windowHeight="15720" tabRatio="845" xr2:uid="{BA83CB33-3910-46A1-AAAA-691A41DA43AD}"/>
  </bookViews>
  <sheets>
    <sheet name="Início" sheetId="109" r:id="rId1"/>
    <sheet name="Dados gerais" sheetId="2" state="hidden" r:id="rId2"/>
    <sheet name="Índice" sheetId="107" r:id="rId3"/>
    <sheet name="PFs_Instruções e PFs" sheetId="111" r:id="rId4"/>
    <sheet name="TR_Triagem" sheetId="83" r:id="rId5"/>
    <sheet name="ID_Identificação do projeto" sheetId="110" r:id="rId6"/>
    <sheet name="IC_todos os projetos" sheetId="101" r:id="rId7"/>
    <sheet name="TM1_micromobilidade " sheetId="84" r:id="rId8"/>
    <sheet name="FACalc_micromobilidade" sheetId="91" state="hidden" r:id="rId9"/>
    <sheet name="TM2_rodovia" sheetId="85" r:id="rId10"/>
    <sheet name="TM3_ferrovia e metro" sheetId="88" r:id="rId11"/>
    <sheet name="FACalc_rodovia" sheetId="104" state="hidden" r:id="rId12"/>
    <sheet name="FACalc_ferrovia" sheetId="105" state="hidden" r:id="rId13"/>
    <sheet name="TM4_vias navegáveis interiores" sheetId="86" r:id="rId14"/>
    <sheet name="FACalc_vias navegáveis int." sheetId="106" state="hidden" r:id="rId15"/>
    <sheet name="TM5_parques de estacionamento" sheetId="113" r:id="rId16"/>
    <sheet name="FAListas" sheetId="80" state="hidden" r:id="rId17"/>
    <sheet name="FACalc_parquesestacionamento" sheetId="114" state="hidden" r:id="rId18"/>
    <sheet name="RE_resultados" sheetId="73" r:id="rId19"/>
    <sheet name="Cálculos adicionais_utilizador" sheetId="82" r:id="rId20"/>
    <sheet name="Glossário" sheetId="64" r:id="rId21"/>
    <sheet name="Fatores de Emissão" sheetId="27" r:id="rId22"/>
    <sheet name="Fatores de Conversão" sheetId="30" r:id="rId23"/>
    <sheet name="Ficha técnica+ atualizações" sheetId="59" r:id="rId24"/>
  </sheets>
  <externalReferences>
    <externalReference r:id="rId25"/>
    <externalReference r:id="rId26"/>
    <externalReference r:id="rId27"/>
  </externalReferences>
  <definedNames>
    <definedName name="_xlnm._FilterDatabase" localSheetId="21" hidden="1">'Fatores de Emissão'!#REF!</definedName>
    <definedName name="Ano">[1]Introdução!$E$25</definedName>
    <definedName name="Antracite">#REF!</definedName>
    <definedName name="Fugitivas_otros">[2]Datos!$C$710:$C$720</definedName>
    <definedName name="gwp_CH4">'[3]Fatores de Emissão'!$E$236</definedName>
    <definedName name="gwp_CO2">'[3]Fatores de Emissão'!$E$235</definedName>
    <definedName name="gwp_N2O">'[3]Fatores de Emissão'!$E$237</definedName>
    <definedName name="lista_setor">[3]Listas!$D$2:$D$6</definedName>
    <definedName name="total_TeD_up_CO2bio">'[3]Transp.&amp; Distribuição(Upstream)'!$F$350</definedName>
    <definedName name="versao_ferramenta">[1]Atualizações!$B$11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6" i="114" l="1"/>
  <c r="K18" i="91"/>
  <c r="K17" i="91"/>
  <c r="K16" i="91"/>
  <c r="K15" i="91"/>
  <c r="K14" i="91"/>
  <c r="K16" i="104"/>
  <c r="K15" i="104"/>
  <c r="K14" i="104"/>
  <c r="K13" i="104"/>
  <c r="K12" i="104"/>
  <c r="K11" i="104"/>
  <c r="K10" i="104"/>
  <c r="E16" i="27"/>
  <c r="D55" i="104"/>
  <c r="K106" i="101"/>
  <c r="G106" i="101"/>
  <c r="F106" i="101"/>
  <c r="J106" i="101" s="1"/>
  <c r="D54" i="105"/>
  <c r="E76" i="84"/>
  <c r="F54" i="113"/>
  <c r="C125" i="101" l="1"/>
  <c r="G28" i="101"/>
  <c r="F28" i="101"/>
  <c r="E12" i="82"/>
  <c r="G40" i="27"/>
  <c r="E108" i="27"/>
  <c r="E106" i="27"/>
  <c r="E105" i="27"/>
  <c r="E103" i="27"/>
  <c r="E102" i="27"/>
  <c r="E100" i="27"/>
  <c r="E99" i="27"/>
  <c r="E97" i="27"/>
  <c r="E96" i="27"/>
  <c r="E93" i="27"/>
  <c r="E91" i="27"/>
  <c r="E90" i="27"/>
  <c r="E89" i="27"/>
  <c r="E88" i="27"/>
  <c r="E87" i="27"/>
  <c r="E85" i="27"/>
  <c r="E84" i="27"/>
  <c r="E83" i="27"/>
  <c r="E82" i="27"/>
  <c r="E80" i="27"/>
  <c r="E79" i="27"/>
  <c r="E78" i="27"/>
  <c r="E77" i="27"/>
  <c r="E75" i="27"/>
  <c r="E74" i="27"/>
  <c r="E73" i="27"/>
  <c r="E72" i="27"/>
  <c r="E70" i="27"/>
  <c r="E69" i="27"/>
  <c r="E68" i="27"/>
  <c r="E67" i="27"/>
  <c r="E66" i="27"/>
  <c r="E65" i="27"/>
  <c r="E64" i="27"/>
  <c r="E63" i="27"/>
  <c r="E61" i="27"/>
  <c r="I109" i="27"/>
  <c r="I108" i="27"/>
  <c r="I106" i="27"/>
  <c r="I105" i="27"/>
  <c r="I103" i="27"/>
  <c r="I102" i="27"/>
  <c r="I100" i="27"/>
  <c r="I99" i="27"/>
  <c r="I97" i="27"/>
  <c r="I96" i="27"/>
  <c r="I94" i="27"/>
  <c r="I93" i="27"/>
  <c r="I91" i="27"/>
  <c r="I88" i="27"/>
  <c r="I83" i="27"/>
  <c r="I78" i="27"/>
  <c r="I77" i="27"/>
  <c r="I76" i="27"/>
  <c r="I71" i="27"/>
  <c r="I66" i="27"/>
  <c r="I63" i="27"/>
  <c r="I61" i="27"/>
  <c r="I60" i="27"/>
  <c r="C54" i="27"/>
  <c r="E51" i="27"/>
  <c r="E50" i="27"/>
  <c r="E49" i="27"/>
  <c r="E48" i="27"/>
  <c r="E47" i="27"/>
  <c r="E46" i="27"/>
  <c r="E45" i="27"/>
  <c r="E44" i="27"/>
  <c r="E43" i="27"/>
  <c r="E42" i="27"/>
  <c r="E40" i="27"/>
  <c r="E39" i="27"/>
  <c r="E38" i="27"/>
  <c r="E37" i="27"/>
  <c r="E36" i="27"/>
  <c r="F36" i="27" s="1"/>
  <c r="F37" i="27" s="1"/>
  <c r="E35" i="27"/>
  <c r="E34" i="27"/>
  <c r="E33" i="27"/>
  <c r="E32" i="27"/>
  <c r="E31" i="27"/>
  <c r="E30" i="27"/>
  <c r="E29" i="27"/>
  <c r="E28" i="27"/>
  <c r="E27" i="27"/>
  <c r="E26" i="27"/>
  <c r="E25" i="27"/>
  <c r="E24" i="27"/>
  <c r="E23" i="27"/>
  <c r="E22" i="27"/>
  <c r="E21" i="27"/>
  <c r="E20" i="27"/>
  <c r="E19" i="27"/>
  <c r="E18" i="27"/>
  <c r="E17" i="27"/>
  <c r="F40" i="27"/>
  <c r="F39" i="27"/>
  <c r="F38" i="27"/>
  <c r="F35" i="27"/>
  <c r="F34" i="27"/>
  <c r="F33" i="27"/>
  <c r="F30" i="27"/>
  <c r="F29" i="27"/>
  <c r="F28" i="27"/>
  <c r="F25" i="27"/>
  <c r="F24" i="27"/>
  <c r="F23" i="27"/>
  <c r="F19" i="27"/>
  <c r="F18" i="27"/>
  <c r="F10" i="27"/>
  <c r="E15" i="27"/>
  <c r="F15" i="27"/>
  <c r="E14" i="27"/>
  <c r="E13" i="27"/>
  <c r="E12" i="27"/>
  <c r="E11" i="27"/>
  <c r="E10" i="27"/>
  <c r="E9" i="27"/>
  <c r="F9" i="27"/>
  <c r="G51" i="27"/>
  <c r="G50" i="27"/>
  <c r="G49" i="27"/>
  <c r="G48" i="27"/>
  <c r="G47" i="27"/>
  <c r="G44" i="27"/>
  <c r="G39" i="27"/>
  <c r="G38" i="27"/>
  <c r="G35" i="27"/>
  <c r="G34" i="27"/>
  <c r="G33" i="27"/>
  <c r="G30" i="27"/>
  <c r="G29" i="27"/>
  <c r="G28" i="27"/>
  <c r="G25" i="27"/>
  <c r="G24" i="27"/>
  <c r="G23" i="27"/>
  <c r="G20" i="27"/>
  <c r="G19" i="27"/>
  <c r="G18" i="27"/>
  <c r="G15" i="27"/>
  <c r="G14" i="27"/>
  <c r="G12" i="27"/>
  <c r="G11" i="27"/>
  <c r="G10" i="27"/>
  <c r="G9" i="27"/>
  <c r="G29" i="101"/>
  <c r="K29" i="101" s="1"/>
  <c r="X21" i="27"/>
  <c r="AA13" i="27"/>
  <c r="Z21" i="27" s="1"/>
  <c r="Z13" i="27"/>
  <c r="AE56" i="27"/>
  <c r="AE57" i="27"/>
  <c r="AE58" i="27"/>
  <c r="AN56" i="27"/>
  <c r="AP56" i="27"/>
  <c r="AN57" i="27"/>
  <c r="AP57" i="27"/>
  <c r="AN58" i="27"/>
  <c r="AP58" i="27"/>
  <c r="G60" i="101"/>
  <c r="K60" i="101" s="1"/>
  <c r="G59" i="101"/>
  <c r="K59" i="101" s="1"/>
  <c r="G58" i="101"/>
  <c r="K58" i="101" s="1"/>
  <c r="G57" i="101"/>
  <c r="K57" i="101" s="1"/>
  <c r="G56" i="101"/>
  <c r="K56" i="101" s="1"/>
  <c r="F60" i="101"/>
  <c r="J60" i="101" s="1"/>
  <c r="F59" i="101"/>
  <c r="F58" i="101"/>
  <c r="F57" i="101"/>
  <c r="F56" i="101"/>
  <c r="J56" i="101" s="1"/>
  <c r="K28" i="101" l="1"/>
  <c r="E28" i="101"/>
  <c r="J28" i="101"/>
  <c r="J58" i="101"/>
  <c r="G36" i="27"/>
  <c r="G37" i="27" s="1"/>
  <c r="J59" i="101"/>
  <c r="J57" i="101"/>
  <c r="E60" i="101"/>
  <c r="E59" i="101"/>
  <c r="E58" i="101"/>
  <c r="E57" i="101"/>
  <c r="E56" i="101"/>
  <c r="E77" i="85"/>
  <c r="D47" i="106"/>
  <c r="D46" i="106"/>
  <c r="D45" i="106"/>
  <c r="D44" i="106"/>
  <c r="C12" i="105"/>
  <c r="I14" i="104"/>
  <c r="G80" i="86"/>
  <c r="E54" i="105"/>
  <c r="E55" i="105"/>
  <c r="E58" i="105"/>
  <c r="E59" i="105"/>
  <c r="G124" i="85"/>
  <c r="I65" i="27"/>
  <c r="M14" i="91"/>
  <c r="J21" i="84"/>
  <c r="J50" i="73"/>
  <c r="C54" i="73"/>
  <c r="C26" i="73"/>
  <c r="Z10" i="91"/>
  <c r="Z13" i="91" s="1"/>
  <c r="G42" i="27"/>
  <c r="F126" i="101"/>
  <c r="J126" i="101" s="1"/>
  <c r="G126" i="101"/>
  <c r="K126" i="101" s="1"/>
  <c r="G127" i="101"/>
  <c r="K127" i="101" s="1"/>
  <c r="G128" i="101"/>
  <c r="K128" i="101" s="1"/>
  <c r="G129" i="101"/>
  <c r="K129" i="101" s="1"/>
  <c r="F127" i="101"/>
  <c r="J127" i="101" s="1"/>
  <c r="F128" i="101"/>
  <c r="J128" i="101" s="1"/>
  <c r="F129" i="101"/>
  <c r="J129" i="101" s="1"/>
  <c r="F87" i="101"/>
  <c r="G87" i="101"/>
  <c r="K87" i="101" s="1"/>
  <c r="G83" i="101"/>
  <c r="K83" i="101" s="1"/>
  <c r="F83" i="101"/>
  <c r="G84" i="101"/>
  <c r="K84" i="101" s="1"/>
  <c r="G85" i="101"/>
  <c r="K85" i="101" s="1"/>
  <c r="G86" i="101"/>
  <c r="K86" i="101" s="1"/>
  <c r="F84" i="101"/>
  <c r="F85" i="101"/>
  <c r="F86" i="101"/>
  <c r="F55" i="101"/>
  <c r="J55" i="101" s="1"/>
  <c r="G55" i="101"/>
  <c r="K55" i="101" s="1"/>
  <c r="K62" i="101" s="1"/>
  <c r="F31" i="101"/>
  <c r="J31" i="101" s="1"/>
  <c r="G30" i="101"/>
  <c r="K30" i="101" s="1"/>
  <c r="G31" i="101"/>
  <c r="K31" i="101" s="1"/>
  <c r="F30" i="101"/>
  <c r="J30" i="101" s="1"/>
  <c r="F29" i="101"/>
  <c r="J29" i="101" s="1"/>
  <c r="K89" i="101" l="1"/>
  <c r="K33" i="101"/>
  <c r="G33" i="101"/>
  <c r="G29" i="73" s="1"/>
  <c r="G30" i="73" s="1"/>
  <c r="F33" i="101"/>
  <c r="I28" i="101"/>
  <c r="J33" i="101"/>
  <c r="I64" i="27"/>
  <c r="G35" i="73"/>
  <c r="G36" i="73" s="1"/>
  <c r="H35" i="73"/>
  <c r="E35" i="73"/>
  <c r="E36" i="73" s="1"/>
  <c r="F89" i="101"/>
  <c r="G89" i="101"/>
  <c r="G33" i="73" s="1"/>
  <c r="G34" i="73" s="1"/>
  <c r="G131" i="101"/>
  <c r="G37" i="73" s="1"/>
  <c r="G38" i="73" s="1"/>
  <c r="F131" i="101"/>
  <c r="E37" i="73" s="1"/>
  <c r="E38" i="73" s="1"/>
  <c r="J60" i="73"/>
  <c r="E126" i="101"/>
  <c r="E127" i="101"/>
  <c r="E83" i="101"/>
  <c r="E55" i="101"/>
  <c r="E30" i="101"/>
  <c r="E31" i="101"/>
  <c r="I31" i="101"/>
  <c r="I30" i="101"/>
  <c r="E33" i="101" l="1"/>
  <c r="E29" i="73"/>
  <c r="E30" i="73" s="1"/>
  <c r="E89" i="101"/>
  <c r="E131" i="101"/>
  <c r="I37" i="73" s="1"/>
  <c r="I38" i="73" s="1"/>
  <c r="K38" i="73" s="1"/>
  <c r="C129" i="101"/>
  <c r="C128" i="101"/>
  <c r="C127" i="101"/>
  <c r="C126" i="101"/>
  <c r="H52" i="114"/>
  <c r="C37" i="114"/>
  <c r="C36" i="114"/>
  <c r="C59" i="114" s="1"/>
  <c r="C35" i="114"/>
  <c r="C34" i="114"/>
  <c r="C58" i="114" s="1"/>
  <c r="C33" i="114"/>
  <c r="C57" i="114" s="1"/>
  <c r="C32" i="114"/>
  <c r="C56" i="114" s="1"/>
  <c r="C31" i="114"/>
  <c r="C55" i="114" s="1"/>
  <c r="B37" i="114"/>
  <c r="F20" i="114" s="1"/>
  <c r="B36" i="114"/>
  <c r="F19" i="114" s="1"/>
  <c r="B35" i="114"/>
  <c r="F18" i="114" s="1"/>
  <c r="B34" i="114"/>
  <c r="F17" i="114" s="1"/>
  <c r="B32" i="114"/>
  <c r="F15" i="114" s="1"/>
  <c r="B33" i="114"/>
  <c r="F16" i="114" s="1"/>
  <c r="B31" i="114"/>
  <c r="F14" i="114" s="1"/>
  <c r="D30" i="114"/>
  <c r="B30" i="114"/>
  <c r="C29" i="114"/>
  <c r="B29" i="114"/>
  <c r="C28" i="114"/>
  <c r="B28" i="114"/>
  <c r="C27" i="114"/>
  <c r="G13" i="114" s="1"/>
  <c r="D21" i="114"/>
  <c r="I16" i="114" s="1"/>
  <c r="D20" i="114"/>
  <c r="I15" i="114" s="1"/>
  <c r="D19" i="114"/>
  <c r="I14" i="114" s="1"/>
  <c r="D18" i="114"/>
  <c r="D17" i="114"/>
  <c r="D16" i="114"/>
  <c r="C23" i="114"/>
  <c r="M20" i="114" s="1"/>
  <c r="C22" i="114"/>
  <c r="C21" i="114"/>
  <c r="D57" i="114" s="1"/>
  <c r="C20" i="114"/>
  <c r="D56" i="114" s="1"/>
  <c r="C19" i="114"/>
  <c r="D55" i="114" s="1"/>
  <c r="C18" i="114"/>
  <c r="D59" i="114" s="1"/>
  <c r="C17" i="114"/>
  <c r="D60" i="114" s="1"/>
  <c r="C16" i="114"/>
  <c r="D58" i="114" s="1"/>
  <c r="C15" i="114"/>
  <c r="I13" i="114" s="1"/>
  <c r="B23" i="114"/>
  <c r="B22" i="114"/>
  <c r="B21" i="114"/>
  <c r="B20" i="114"/>
  <c r="B19" i="114"/>
  <c r="B18" i="114"/>
  <c r="B17" i="114"/>
  <c r="B16" i="114"/>
  <c r="B15" i="114"/>
  <c r="H121" i="114"/>
  <c r="H120" i="114"/>
  <c r="C14" i="114"/>
  <c r="C13" i="114"/>
  <c r="D12" i="114"/>
  <c r="C12" i="114" s="1"/>
  <c r="Y13" i="114" s="1"/>
  <c r="AD10" i="114"/>
  <c r="AC10" i="114"/>
  <c r="AB10" i="114"/>
  <c r="AA10" i="114"/>
  <c r="Z10" i="114"/>
  <c r="E91" i="113"/>
  <c r="E81" i="113"/>
  <c r="E97" i="84"/>
  <c r="E90" i="84"/>
  <c r="E83" i="84"/>
  <c r="G143" i="113"/>
  <c r="J21" i="113"/>
  <c r="J6" i="113"/>
  <c r="J5" i="86"/>
  <c r="E47" i="106"/>
  <c r="E46" i="106"/>
  <c r="E45" i="106"/>
  <c r="E44" i="106"/>
  <c r="D15" i="106"/>
  <c r="D14" i="106"/>
  <c r="C15" i="106"/>
  <c r="M12" i="106" s="1"/>
  <c r="B15" i="106"/>
  <c r="B13" i="106"/>
  <c r="B14" i="106"/>
  <c r="C14" i="106"/>
  <c r="I12" i="106" s="1"/>
  <c r="D18" i="106"/>
  <c r="H10" i="106" s="1"/>
  <c r="D22" i="106"/>
  <c r="D21" i="106"/>
  <c r="D20" i="106"/>
  <c r="D19" i="106"/>
  <c r="B22" i="106"/>
  <c r="B21" i="106"/>
  <c r="E66" i="86"/>
  <c r="E60" i="86"/>
  <c r="B19" i="106"/>
  <c r="B20" i="106"/>
  <c r="B18" i="106"/>
  <c r="G31" i="27"/>
  <c r="G32" i="27" s="1"/>
  <c r="I72" i="27"/>
  <c r="I73" i="27" s="1"/>
  <c r="F67" i="27"/>
  <c r="E62" i="27"/>
  <c r="I62" i="27" s="1"/>
  <c r="G26" i="27"/>
  <c r="G27" i="27" s="1"/>
  <c r="G21" i="27"/>
  <c r="G22" i="27" s="1"/>
  <c r="G16" i="27"/>
  <c r="G17" i="27" s="1"/>
  <c r="AR58" i="27"/>
  <c r="AR57" i="27"/>
  <c r="AR56" i="27"/>
  <c r="Q51" i="27"/>
  <c r="K13" i="114" l="1"/>
  <c r="N13" i="114" s="1"/>
  <c r="L12" i="106"/>
  <c r="H11" i="106"/>
  <c r="D53" i="106" s="1"/>
  <c r="O12" i="106"/>
  <c r="H12" i="106"/>
  <c r="E70" i="114"/>
  <c r="D70" i="114"/>
  <c r="D73" i="114"/>
  <c r="D72" i="114"/>
  <c r="D71" i="114"/>
  <c r="E69" i="114"/>
  <c r="D69" i="114"/>
  <c r="E68" i="114"/>
  <c r="D68" i="114"/>
  <c r="E75" i="114"/>
  <c r="D75" i="114"/>
  <c r="D74" i="114"/>
  <c r="E74" i="114"/>
  <c r="E73" i="114"/>
  <c r="E72" i="114"/>
  <c r="E71" i="114"/>
  <c r="G16" i="114"/>
  <c r="G15" i="114"/>
  <c r="G14" i="114"/>
  <c r="G19" i="114"/>
  <c r="I68" i="114"/>
  <c r="G20" i="114"/>
  <c r="K20" i="114" s="1"/>
  <c r="N20" i="114" s="1"/>
  <c r="G18" i="114"/>
  <c r="G17" i="114"/>
  <c r="H14" i="114"/>
  <c r="H15" i="114"/>
  <c r="H19" i="114"/>
  <c r="H18" i="114"/>
  <c r="H17" i="114"/>
  <c r="H16" i="114"/>
  <c r="I19" i="114"/>
  <c r="I18" i="114"/>
  <c r="I17" i="114"/>
  <c r="K37" i="73"/>
  <c r="G67" i="27"/>
  <c r="I67" i="27"/>
  <c r="I68" i="27" s="1"/>
  <c r="H67" i="27"/>
  <c r="H62" i="27"/>
  <c r="G62" i="27"/>
  <c r="F62" i="27"/>
  <c r="E129" i="101"/>
  <c r="E128" i="101"/>
  <c r="E106" i="101"/>
  <c r="E86" i="101"/>
  <c r="E84" i="101"/>
  <c r="E85" i="101"/>
  <c r="E87" i="101"/>
  <c r="I75" i="114"/>
  <c r="I71" i="114"/>
  <c r="I70" i="114"/>
  <c r="I69" i="114"/>
  <c r="I74" i="114"/>
  <c r="I73" i="114"/>
  <c r="I72" i="114"/>
  <c r="E56" i="114"/>
  <c r="C60" i="114"/>
  <c r="E60" i="114" s="1"/>
  <c r="E59" i="114"/>
  <c r="E57" i="114"/>
  <c r="E58" i="114"/>
  <c r="E55" i="114"/>
  <c r="H20" i="114"/>
  <c r="G66" i="27"/>
  <c r="E53" i="106" l="1"/>
  <c r="E52" i="106"/>
  <c r="E50" i="106"/>
  <c r="F92" i="86"/>
  <c r="E92" i="86"/>
  <c r="I79" i="114"/>
  <c r="I89" i="114" s="1"/>
  <c r="I84" i="114"/>
  <c r="I80" i="114"/>
  <c r="I82" i="114"/>
  <c r="I81" i="114"/>
  <c r="I83" i="114"/>
  <c r="I85" i="114"/>
  <c r="I95" i="114" s="1"/>
  <c r="E107" i="101"/>
  <c r="I35" i="73"/>
  <c r="E132" i="101"/>
  <c r="D86" i="114"/>
  <c r="D96" i="114" s="1"/>
  <c r="D85" i="114"/>
  <c r="E86" i="114"/>
  <c r="E96" i="114" s="1"/>
  <c r="J85" i="114"/>
  <c r="J86" i="114"/>
  <c r="J96" i="114" s="1"/>
  <c r="E85" i="114"/>
  <c r="E95" i="114" s="1"/>
  <c r="D81" i="114"/>
  <c r="E84" i="114"/>
  <c r="J84" i="114"/>
  <c r="J83" i="114"/>
  <c r="E79" i="114"/>
  <c r="E89" i="114" s="1"/>
  <c r="J82" i="114"/>
  <c r="J81" i="114"/>
  <c r="E80" i="114"/>
  <c r="J80" i="114"/>
  <c r="E81" i="114"/>
  <c r="J79" i="114"/>
  <c r="E82" i="114"/>
  <c r="E83" i="114"/>
  <c r="D84" i="114"/>
  <c r="D79" i="114"/>
  <c r="D80" i="114"/>
  <c r="D83" i="114"/>
  <c r="D82" i="114"/>
  <c r="E61" i="114"/>
  <c r="E51" i="106"/>
  <c r="C33" i="104"/>
  <c r="C32" i="104"/>
  <c r="C31" i="104"/>
  <c r="C30" i="104"/>
  <c r="G15" i="104" s="1"/>
  <c r="C29" i="104"/>
  <c r="C28" i="104"/>
  <c r="C27" i="104"/>
  <c r="C26" i="104"/>
  <c r="C25" i="104"/>
  <c r="C24" i="104"/>
  <c r="B23" i="104"/>
  <c r="C23" i="104"/>
  <c r="C22" i="104"/>
  <c r="C21" i="104"/>
  <c r="E115" i="88"/>
  <c r="E108" i="88"/>
  <c r="E101" i="88"/>
  <c r="E94" i="88"/>
  <c r="E87" i="88"/>
  <c r="E80" i="88"/>
  <c r="I127" i="91"/>
  <c r="C29" i="91"/>
  <c r="C30" i="91"/>
  <c r="C31" i="91"/>
  <c r="C28" i="91"/>
  <c r="C27" i="91"/>
  <c r="C26" i="91"/>
  <c r="C24" i="91"/>
  <c r="C25" i="91"/>
  <c r="C23" i="91"/>
  <c r="C22" i="91"/>
  <c r="D132" i="114" l="1"/>
  <c r="D95" i="114"/>
  <c r="D128" i="114"/>
  <c r="E128" i="114"/>
  <c r="D89" i="114"/>
  <c r="E79" i="106"/>
  <c r="E56" i="106"/>
  <c r="E80" i="106"/>
  <c r="E57" i="106"/>
  <c r="E81" i="106"/>
  <c r="E58" i="106"/>
  <c r="G16" i="104"/>
  <c r="G14" i="104"/>
  <c r="G13" i="104"/>
  <c r="G11" i="104"/>
  <c r="D61" i="104" s="1"/>
  <c r="D97" i="104" s="1"/>
  <c r="G17" i="91"/>
  <c r="G14" i="91"/>
  <c r="G13" i="91"/>
  <c r="I36" i="73"/>
  <c r="K36" i="73" s="1"/>
  <c r="J132" i="114"/>
  <c r="J95" i="114"/>
  <c r="J128" i="114"/>
  <c r="I128" i="114"/>
  <c r="J89" i="114"/>
  <c r="I132" i="114"/>
  <c r="E132" i="114"/>
  <c r="G15" i="91"/>
  <c r="G12" i="104"/>
  <c r="G16" i="91"/>
  <c r="E104" i="84"/>
  <c r="C21" i="91"/>
  <c r="G18" i="91" s="1"/>
  <c r="E82" i="106" l="1"/>
  <c r="E59" i="106"/>
  <c r="D67" i="104"/>
  <c r="N13" i="91"/>
  <c r="G158" i="84"/>
  <c r="G130" i="88"/>
  <c r="J6" i="84" l="1"/>
  <c r="C15" i="73"/>
  <c r="C29" i="105" l="1"/>
  <c r="C30" i="105"/>
  <c r="C28" i="105"/>
  <c r="C27" i="105"/>
  <c r="C26" i="105"/>
  <c r="C25" i="105"/>
  <c r="C24" i="105"/>
  <c r="C11" i="105"/>
  <c r="C22" i="105"/>
  <c r="C21" i="105"/>
  <c r="G9" i="105" s="1"/>
  <c r="G58" i="105"/>
  <c r="F58" i="105"/>
  <c r="D58" i="105"/>
  <c r="I55" i="105"/>
  <c r="I56" i="105"/>
  <c r="I57" i="105"/>
  <c r="I58" i="105"/>
  <c r="I59" i="105"/>
  <c r="I54" i="105"/>
  <c r="H55" i="105"/>
  <c r="H56" i="105"/>
  <c r="H57" i="105"/>
  <c r="H59" i="105"/>
  <c r="H54" i="105"/>
  <c r="G55" i="105"/>
  <c r="G57" i="105"/>
  <c r="G59" i="105"/>
  <c r="G54" i="105"/>
  <c r="F55" i="105"/>
  <c r="F57" i="105"/>
  <c r="F59" i="105"/>
  <c r="F54" i="105"/>
  <c r="D59" i="105"/>
  <c r="D56" i="105"/>
  <c r="D55" i="105"/>
  <c r="D18" i="105"/>
  <c r="C17" i="105"/>
  <c r="I15" i="105" s="1"/>
  <c r="C18" i="105"/>
  <c r="M15" i="105" s="1"/>
  <c r="B25" i="105"/>
  <c r="B24" i="105"/>
  <c r="B27" i="105"/>
  <c r="B26" i="105"/>
  <c r="C33" i="105"/>
  <c r="C32" i="105"/>
  <c r="B33" i="105"/>
  <c r="B32" i="105"/>
  <c r="C31" i="105"/>
  <c r="C23" i="105"/>
  <c r="D16" i="105"/>
  <c r="C16" i="105"/>
  <c r="D17" i="105"/>
  <c r="F108" i="88"/>
  <c r="F80" i="88"/>
  <c r="J21" i="88"/>
  <c r="J5" i="88"/>
  <c r="J23" i="85"/>
  <c r="J7" i="85"/>
  <c r="I14" i="105" l="1"/>
  <c r="K14" i="105" s="1"/>
  <c r="N14" i="105" s="1"/>
  <c r="J14" i="105"/>
  <c r="F62" i="101"/>
  <c r="E31" i="73" s="1"/>
  <c r="G62" i="101"/>
  <c r="G31" i="73" s="1"/>
  <c r="G13" i="105"/>
  <c r="G14" i="105"/>
  <c r="G11" i="105"/>
  <c r="G15" i="105"/>
  <c r="K15" i="105" s="1"/>
  <c r="N15" i="105" s="1"/>
  <c r="G12" i="105"/>
  <c r="G10" i="105"/>
  <c r="C11" i="104"/>
  <c r="C10" i="105"/>
  <c r="D8" i="105"/>
  <c r="C8" i="105" s="1"/>
  <c r="Y9" i="105" s="1"/>
  <c r="F115" i="88"/>
  <c r="F94" i="88"/>
  <c r="F19" i="104"/>
  <c r="F83" i="85"/>
  <c r="I58" i="104"/>
  <c r="I64" i="104" s="1"/>
  <c r="I57" i="104"/>
  <c r="I56" i="104"/>
  <c r="I55" i="104"/>
  <c r="H58" i="104"/>
  <c r="H57" i="104"/>
  <c r="H56" i="104"/>
  <c r="H55" i="104"/>
  <c r="G58" i="104"/>
  <c r="G57" i="104"/>
  <c r="G56" i="104"/>
  <c r="G55" i="104"/>
  <c r="F58" i="104"/>
  <c r="F57" i="104"/>
  <c r="F56" i="104"/>
  <c r="F55" i="104"/>
  <c r="E58" i="104"/>
  <c r="E64" i="104" s="1"/>
  <c r="E57" i="104"/>
  <c r="E56" i="104"/>
  <c r="E55" i="104"/>
  <c r="D58" i="104"/>
  <c r="D64" i="104" s="1"/>
  <c r="D57" i="104"/>
  <c r="D56" i="104"/>
  <c r="D9" i="104"/>
  <c r="D18" i="91"/>
  <c r="D19" i="91"/>
  <c r="D16" i="91"/>
  <c r="D67" i="105" l="1"/>
  <c r="D106" i="105" s="1"/>
  <c r="D62" i="105"/>
  <c r="E65" i="105"/>
  <c r="E104" i="105" s="1"/>
  <c r="E67" i="105"/>
  <c r="E106" i="105" s="1"/>
  <c r="E66" i="105"/>
  <c r="E105" i="105" s="1"/>
  <c r="E62" i="105"/>
  <c r="E63" i="105"/>
  <c r="E102" i="105" s="1"/>
  <c r="I70" i="104"/>
  <c r="I100" i="104"/>
  <c r="E100" i="104"/>
  <c r="E70" i="104"/>
  <c r="D70" i="104"/>
  <c r="D100" i="104"/>
  <c r="G27" i="73"/>
  <c r="G32" i="73"/>
  <c r="G28" i="73" s="1"/>
  <c r="E32" i="73"/>
  <c r="E62" i="101"/>
  <c r="I31" i="73" s="1"/>
  <c r="C19" i="91"/>
  <c r="I17" i="91" s="1"/>
  <c r="F66" i="105"/>
  <c r="F105" i="105" s="1"/>
  <c r="F62" i="105"/>
  <c r="I67" i="105"/>
  <c r="I62" i="105"/>
  <c r="I63" i="105"/>
  <c r="I64" i="105"/>
  <c r="I65" i="105"/>
  <c r="I66" i="105"/>
  <c r="G66" i="105"/>
  <c r="G105" i="105" s="1"/>
  <c r="G62" i="105"/>
  <c r="D66" i="105"/>
  <c r="D105" i="105" s="1"/>
  <c r="H66" i="105"/>
  <c r="H62" i="105"/>
  <c r="C18" i="91"/>
  <c r="I16" i="91" s="1"/>
  <c r="H101" i="105" l="1"/>
  <c r="H70" i="105"/>
  <c r="H74" i="105"/>
  <c r="H105" i="105"/>
  <c r="G70" i="105"/>
  <c r="G101" i="105"/>
  <c r="F101" i="105"/>
  <c r="F70" i="105"/>
  <c r="E101" i="105"/>
  <c r="E107" i="105" s="1"/>
  <c r="E70" i="105"/>
  <c r="D101" i="105"/>
  <c r="D70" i="105"/>
  <c r="I103" i="105"/>
  <c r="I101" i="105"/>
  <c r="I70" i="105"/>
  <c r="I74" i="105"/>
  <c r="I105" i="105"/>
  <c r="I71" i="105"/>
  <c r="I102" i="105"/>
  <c r="I106" i="105"/>
  <c r="I75" i="105"/>
  <c r="I73" i="105"/>
  <c r="I104" i="105"/>
  <c r="I32" i="73"/>
  <c r="K32" i="73" s="1"/>
  <c r="J136" i="105"/>
  <c r="F160" i="88" s="1"/>
  <c r="I136" i="105"/>
  <c r="E160" i="88" s="1"/>
  <c r="D12" i="91"/>
  <c r="C12" i="91" s="1"/>
  <c r="Y13" i="91" s="1"/>
  <c r="D11" i="105"/>
  <c r="F87" i="88"/>
  <c r="F101" i="88"/>
  <c r="D13" i="106"/>
  <c r="C13" i="106"/>
  <c r="D9" i="106"/>
  <c r="F95" i="85"/>
  <c r="E95" i="85"/>
  <c r="F101" i="85"/>
  <c r="E101" i="85"/>
  <c r="F107" i="85"/>
  <c r="E107" i="85"/>
  <c r="F89" i="85"/>
  <c r="E89" i="85"/>
  <c r="E83" i="85"/>
  <c r="C11" i="106"/>
  <c r="C10" i="106"/>
  <c r="C9" i="105"/>
  <c r="C10" i="104"/>
  <c r="C14" i="91"/>
  <c r="C13" i="91"/>
  <c r="C16" i="91"/>
  <c r="I14" i="91" s="1"/>
  <c r="H61" i="91"/>
  <c r="H60" i="91"/>
  <c r="H59" i="91"/>
  <c r="H58" i="91"/>
  <c r="H57" i="91"/>
  <c r="G61" i="91"/>
  <c r="G60" i="91"/>
  <c r="G59" i="91"/>
  <c r="G58" i="91"/>
  <c r="G57" i="91"/>
  <c r="F61" i="91"/>
  <c r="F60" i="91"/>
  <c r="F59" i="91"/>
  <c r="F58" i="91"/>
  <c r="F57" i="91"/>
  <c r="E61" i="91"/>
  <c r="E60" i="91"/>
  <c r="E59" i="91"/>
  <c r="E58" i="91"/>
  <c r="E57" i="91"/>
  <c r="E64" i="91" s="1"/>
  <c r="D61" i="91"/>
  <c r="D60" i="91"/>
  <c r="D59" i="91"/>
  <c r="D58" i="91"/>
  <c r="D57" i="91"/>
  <c r="D64" i="91" s="1"/>
  <c r="I11" i="106" l="1"/>
  <c r="D105" i="91"/>
  <c r="D71" i="91"/>
  <c r="E105" i="91"/>
  <c r="E71" i="91"/>
  <c r="M37" i="73"/>
  <c r="M38" i="73"/>
  <c r="M36" i="73"/>
  <c r="M32" i="73"/>
  <c r="M31" i="73"/>
  <c r="E168" i="84"/>
  <c r="E29" i="101" l="1"/>
  <c r="E33" i="73"/>
  <c r="E34" i="73" l="1"/>
  <c r="E28" i="73" s="1"/>
  <c r="E27" i="73"/>
  <c r="I29" i="73"/>
  <c r="M35" i="73"/>
  <c r="I33" i="73"/>
  <c r="K29" i="73" l="1"/>
  <c r="I30" i="73"/>
  <c r="I27" i="73"/>
  <c r="K27" i="73" s="1"/>
  <c r="M33" i="73"/>
  <c r="I34" i="73"/>
  <c r="M29" i="73"/>
  <c r="K33" i="73"/>
  <c r="K35" i="73"/>
  <c r="E90" i="101"/>
  <c r="E34" i="101"/>
  <c r="M34" i="73" l="1"/>
  <c r="K34" i="73"/>
  <c r="M30" i="73"/>
  <c r="K30" i="73"/>
  <c r="M27" i="73"/>
  <c r="I28" i="73"/>
  <c r="K28" i="73" s="1"/>
  <c r="K31" i="73"/>
  <c r="D51" i="106"/>
  <c r="C12" i="106"/>
  <c r="C9" i="106"/>
  <c r="Y10" i="106" s="1"/>
  <c r="C76" i="106"/>
  <c r="B31" i="105"/>
  <c r="B30" i="105"/>
  <c r="B29" i="105"/>
  <c r="B28" i="105"/>
  <c r="B23" i="105"/>
  <c r="B22" i="105"/>
  <c r="D15" i="105"/>
  <c r="D14" i="105"/>
  <c r="C14" i="105"/>
  <c r="D13" i="105"/>
  <c r="D12" i="105"/>
  <c r="J10" i="105" s="1"/>
  <c r="C15" i="105"/>
  <c r="C13" i="105"/>
  <c r="I9" i="105"/>
  <c r="K9" i="105" s="1"/>
  <c r="C93" i="105"/>
  <c r="M11" i="105"/>
  <c r="D80" i="106" l="1"/>
  <c r="D57" i="106"/>
  <c r="J11" i="106"/>
  <c r="L11" i="106" s="1"/>
  <c r="O11" i="106" s="1"/>
  <c r="N9" i="105"/>
  <c r="J12" i="105"/>
  <c r="I12" i="105"/>
  <c r="K12" i="105" s="1"/>
  <c r="N12" i="105" s="1"/>
  <c r="I13" i="105"/>
  <c r="K13" i="105" s="1"/>
  <c r="N13" i="105" s="1"/>
  <c r="J13" i="105"/>
  <c r="I11" i="105"/>
  <c r="K11" i="105" s="1"/>
  <c r="N11" i="105" s="1"/>
  <c r="J11" i="105"/>
  <c r="I10" i="105"/>
  <c r="K10" i="105" s="1"/>
  <c r="N10" i="105" s="1"/>
  <c r="I10" i="106"/>
  <c r="L10" i="106" s="1"/>
  <c r="M28" i="73"/>
  <c r="H76" i="106"/>
  <c r="J85" i="101"/>
  <c r="H114" i="114"/>
  <c r="D130" i="114" s="1"/>
  <c r="M13" i="105"/>
  <c r="J86" i="101"/>
  <c r="M12" i="105"/>
  <c r="J84" i="101"/>
  <c r="J83" i="101"/>
  <c r="H116" i="114"/>
  <c r="D131" i="114" s="1"/>
  <c r="H78" i="106"/>
  <c r="H93" i="105"/>
  <c r="H95" i="105"/>
  <c r="M10" i="105"/>
  <c r="C88" i="104"/>
  <c r="B22" i="104"/>
  <c r="D18" i="104"/>
  <c r="J16" i="104" s="1"/>
  <c r="N16" i="104" s="1"/>
  <c r="C18" i="104"/>
  <c r="D17" i="104"/>
  <c r="J15" i="104" s="1"/>
  <c r="C17" i="104"/>
  <c r="D16" i="104"/>
  <c r="J14" i="104" s="1"/>
  <c r="N14" i="104" s="1"/>
  <c r="C16" i="104"/>
  <c r="D15" i="104"/>
  <c r="J13" i="104" s="1"/>
  <c r="C15" i="104"/>
  <c r="D14" i="104"/>
  <c r="J12" i="104" s="1"/>
  <c r="C14" i="104"/>
  <c r="D13" i="104"/>
  <c r="J11" i="104" s="1"/>
  <c r="C13" i="104"/>
  <c r="C12" i="104"/>
  <c r="D12" i="104"/>
  <c r="C9" i="104"/>
  <c r="Y10" i="104" s="1"/>
  <c r="F49" i="27"/>
  <c r="G45" i="27"/>
  <c r="G46" i="27" s="1"/>
  <c r="G41" i="27"/>
  <c r="G43" i="27" s="1"/>
  <c r="F26" i="27"/>
  <c r="F27" i="27" s="1"/>
  <c r="F21" i="27"/>
  <c r="F22" i="27" s="1"/>
  <c r="F31" i="27"/>
  <c r="F32" i="27" s="1"/>
  <c r="F16" i="27"/>
  <c r="L14" i="106" l="1"/>
  <c r="E80" i="86" s="1"/>
  <c r="E88" i="86"/>
  <c r="E98" i="86" s="1"/>
  <c r="K16" i="105"/>
  <c r="N16" i="105"/>
  <c r="I13" i="104"/>
  <c r="I12" i="104"/>
  <c r="N12" i="104" s="1"/>
  <c r="I11" i="104"/>
  <c r="O10" i="106"/>
  <c r="O14" i="106" s="1"/>
  <c r="M15" i="104" a="1"/>
  <c r="M15" i="104" s="1"/>
  <c r="N15" i="104" s="1"/>
  <c r="I85" i="101"/>
  <c r="I84" i="101"/>
  <c r="I83" i="101"/>
  <c r="I131" i="114"/>
  <c r="J131" i="114"/>
  <c r="E131" i="114"/>
  <c r="I86" i="101"/>
  <c r="H46" i="91"/>
  <c r="H53" i="114"/>
  <c r="H37" i="106"/>
  <c r="I130" i="114"/>
  <c r="J130" i="114"/>
  <c r="E130" i="114"/>
  <c r="I120" i="105"/>
  <c r="I10" i="104"/>
  <c r="E63" i="101"/>
  <c r="H48" i="104"/>
  <c r="H48" i="105"/>
  <c r="G63" i="105"/>
  <c r="G102" i="105" s="1"/>
  <c r="I15" i="104"/>
  <c r="I16" i="104"/>
  <c r="G10" i="104"/>
  <c r="M13" i="104" a="1"/>
  <c r="M13" i="104" s="1"/>
  <c r="D94" i="114" l="1"/>
  <c r="E94" i="114"/>
  <c r="I94" i="114"/>
  <c r="E100" i="86"/>
  <c r="E99" i="86"/>
  <c r="E97" i="86"/>
  <c r="N13" i="104"/>
  <c r="N11" i="104"/>
  <c r="D127" i="105"/>
  <c r="D126" i="105" s="1"/>
  <c r="I128" i="105"/>
  <c r="E124" i="105"/>
  <c r="I116" i="105"/>
  <c r="H33" i="73"/>
  <c r="H34" i="73" s="1"/>
  <c r="J87" i="101"/>
  <c r="J89" i="101" s="1"/>
  <c r="H97" i="105"/>
  <c r="J94" i="114"/>
  <c r="N10" i="104"/>
  <c r="D124" i="105"/>
  <c r="H63" i="105"/>
  <c r="I132" i="105"/>
  <c r="E156" i="88" s="1"/>
  <c r="D63" i="105"/>
  <c r="D102" i="105" s="1"/>
  <c r="D107" i="105" s="1"/>
  <c r="M14" i="105"/>
  <c r="D52" i="106"/>
  <c r="D50" i="106"/>
  <c r="F63" i="105"/>
  <c r="F102" i="105" s="1"/>
  <c r="I124" i="105"/>
  <c r="D64" i="105"/>
  <c r="D103" i="105" s="1"/>
  <c r="F65" i="105"/>
  <c r="F104" i="105" s="1"/>
  <c r="F67" i="105"/>
  <c r="F106" i="105" s="1"/>
  <c r="H65" i="105"/>
  <c r="H64" i="105"/>
  <c r="H67" i="105"/>
  <c r="E75" i="105"/>
  <c r="G65" i="105"/>
  <c r="G104" i="105" s="1"/>
  <c r="G67" i="105"/>
  <c r="G106" i="105" s="1"/>
  <c r="H56" i="114"/>
  <c r="H100" i="91"/>
  <c r="C59" i="91"/>
  <c r="D90" i="114" l="1"/>
  <c r="E90" i="114"/>
  <c r="I90" i="114"/>
  <c r="D81" i="106"/>
  <c r="D58" i="106"/>
  <c r="D56" i="106"/>
  <c r="D59" i="106" s="1"/>
  <c r="D79" i="106"/>
  <c r="H73" i="105"/>
  <c r="H104" i="105"/>
  <c r="H102" i="105"/>
  <c r="H71" i="105"/>
  <c r="H75" i="105"/>
  <c r="H106" i="105"/>
  <c r="H103" i="105"/>
  <c r="K17" i="104"/>
  <c r="D120" i="104" s="1"/>
  <c r="I116" i="104"/>
  <c r="I132" i="104"/>
  <c r="J90" i="114"/>
  <c r="I87" i="101"/>
  <c r="I89" i="101"/>
  <c r="J120" i="104"/>
  <c r="I120" i="104"/>
  <c r="E133" i="88"/>
  <c r="E134" i="88"/>
  <c r="D75" i="105"/>
  <c r="E73" i="105"/>
  <c r="J124" i="105"/>
  <c r="E148" i="88"/>
  <c r="J116" i="105"/>
  <c r="J120" i="105"/>
  <c r="E144" i="88"/>
  <c r="J132" i="105"/>
  <c r="F156" i="88" s="1"/>
  <c r="H49" i="91"/>
  <c r="F73" i="105"/>
  <c r="F75" i="105"/>
  <c r="J128" i="105"/>
  <c r="E130" i="88"/>
  <c r="G75" i="105"/>
  <c r="G73" i="105"/>
  <c r="F62" i="104"/>
  <c r="F63" i="104"/>
  <c r="F64" i="104"/>
  <c r="F61" i="104"/>
  <c r="G62" i="104"/>
  <c r="G63" i="104"/>
  <c r="G61" i="104"/>
  <c r="G64" i="104"/>
  <c r="H64" i="104"/>
  <c r="H62" i="104"/>
  <c r="H63" i="104"/>
  <c r="H61" i="104"/>
  <c r="E62" i="104"/>
  <c r="E63" i="104"/>
  <c r="E61" i="104"/>
  <c r="I62" i="104"/>
  <c r="I63" i="104"/>
  <c r="I61" i="104"/>
  <c r="D62" i="104"/>
  <c r="D63" i="104"/>
  <c r="H101" i="91"/>
  <c r="M17" i="91"/>
  <c r="C60" i="91"/>
  <c r="I99" i="104" l="1"/>
  <c r="I69" i="104"/>
  <c r="I67" i="104"/>
  <c r="I97" i="104"/>
  <c r="I98" i="104"/>
  <c r="H67" i="104"/>
  <c r="H97" i="104"/>
  <c r="H100" i="104"/>
  <c r="H70" i="104"/>
  <c r="H99" i="104"/>
  <c r="H69" i="104"/>
  <c r="H98" i="104"/>
  <c r="G70" i="104"/>
  <c r="G100" i="104"/>
  <c r="G67" i="104"/>
  <c r="G97" i="104"/>
  <c r="G98" i="104"/>
  <c r="G69" i="104"/>
  <c r="G99" i="104"/>
  <c r="F98" i="104"/>
  <c r="F97" i="104"/>
  <c r="F67" i="104"/>
  <c r="F100" i="104"/>
  <c r="F70" i="104"/>
  <c r="F69" i="104"/>
  <c r="F99" i="104"/>
  <c r="E69" i="104"/>
  <c r="E99" i="104"/>
  <c r="E67" i="104"/>
  <c r="E97" i="104"/>
  <c r="E98" i="104"/>
  <c r="D69" i="104"/>
  <c r="D99" i="104"/>
  <c r="D98" i="104"/>
  <c r="F33" i="73"/>
  <c r="F34" i="73" s="1"/>
  <c r="F35" i="73"/>
  <c r="F36" i="73" s="1"/>
  <c r="H36" i="73"/>
  <c r="M11" i="106"/>
  <c r="E48" i="73"/>
  <c r="E58" i="73" s="1"/>
  <c r="E140" i="88"/>
  <c r="E166" i="88" s="1"/>
  <c r="E152" i="88"/>
  <c r="F166" i="88" s="1"/>
  <c r="F165" i="88" s="1"/>
  <c r="G166" i="88"/>
  <c r="E155" i="85"/>
  <c r="E139" i="85"/>
  <c r="J33" i="73"/>
  <c r="E143" i="85"/>
  <c r="F140" i="88"/>
  <c r="F130" i="88"/>
  <c r="F17" i="27"/>
  <c r="H50" i="105"/>
  <c r="G101" i="104" l="1"/>
  <c r="F88" i="86"/>
  <c r="E165" i="88"/>
  <c r="E167" i="88"/>
  <c r="F160" i="85"/>
  <c r="F161" i="85"/>
  <c r="J34" i="73"/>
  <c r="N33" i="73"/>
  <c r="L33" i="73"/>
  <c r="D74" i="105"/>
  <c r="G74" i="105"/>
  <c r="F74" i="105"/>
  <c r="E74" i="105"/>
  <c r="I129" i="101"/>
  <c r="I57" i="101"/>
  <c r="I128" i="101"/>
  <c r="I106" i="101"/>
  <c r="J35" i="73" s="1"/>
  <c r="J128" i="104"/>
  <c r="I128" i="104"/>
  <c r="D123" i="104"/>
  <c r="D122" i="104" s="1"/>
  <c r="G168" i="88"/>
  <c r="G165" i="88"/>
  <c r="F148" i="88"/>
  <c r="F144" i="88"/>
  <c r="G167" i="88"/>
  <c r="F168" i="88"/>
  <c r="F167" i="88"/>
  <c r="E168" i="88"/>
  <c r="F152" i="88"/>
  <c r="F139" i="85"/>
  <c r="F143" i="85"/>
  <c r="F48" i="73"/>
  <c r="F58" i="73" s="1"/>
  <c r="H67" i="91"/>
  <c r="H64" i="91"/>
  <c r="H65" i="91"/>
  <c r="H66" i="91"/>
  <c r="H68" i="91"/>
  <c r="H118" i="114"/>
  <c r="D126" i="114" s="1"/>
  <c r="H99" i="91"/>
  <c r="H50" i="91"/>
  <c r="F66" i="27"/>
  <c r="H66" i="27"/>
  <c r="O14" i="27"/>
  <c r="H109" i="91" l="1"/>
  <c r="H75" i="91"/>
  <c r="H107" i="91"/>
  <c r="H106" i="91"/>
  <c r="H72" i="91"/>
  <c r="H105" i="91"/>
  <c r="H71" i="91"/>
  <c r="H74" i="91"/>
  <c r="H108" i="91"/>
  <c r="I75" i="27"/>
  <c r="I74" i="27"/>
  <c r="N34" i="73"/>
  <c r="L34" i="73"/>
  <c r="F163" i="85"/>
  <c r="F162" i="85"/>
  <c r="J36" i="73"/>
  <c r="I85" i="27"/>
  <c r="I84" i="27"/>
  <c r="I109" i="114"/>
  <c r="J109" i="114" s="1"/>
  <c r="I70" i="27"/>
  <c r="I69" i="27"/>
  <c r="I108" i="114"/>
  <c r="J108" i="114" s="1"/>
  <c r="E126" i="114"/>
  <c r="J126" i="114"/>
  <c r="I126" i="114"/>
  <c r="H29" i="73"/>
  <c r="H119" i="114"/>
  <c r="D127" i="114" s="1"/>
  <c r="E151" i="85"/>
  <c r="G160" i="85" s="1"/>
  <c r="F151" i="85"/>
  <c r="I112" i="104"/>
  <c r="E135" i="85" s="1"/>
  <c r="E160" i="85" s="1"/>
  <c r="N35" i="73"/>
  <c r="I89" i="27"/>
  <c r="I90" i="27"/>
  <c r="M16" i="104"/>
  <c r="J132" i="104" s="1"/>
  <c r="H95" i="91"/>
  <c r="H90" i="104"/>
  <c r="H97" i="91"/>
  <c r="H93" i="91"/>
  <c r="H88" i="104"/>
  <c r="H98" i="91"/>
  <c r="H68" i="27"/>
  <c r="G68" i="27"/>
  <c r="F68" i="27"/>
  <c r="O13" i="27"/>
  <c r="O30" i="27"/>
  <c r="O25" i="27"/>
  <c r="O19" i="27"/>
  <c r="O24" i="27"/>
  <c r="O35" i="27"/>
  <c r="I124" i="104" l="1"/>
  <c r="H110" i="91"/>
  <c r="J110" i="114"/>
  <c r="D129" i="114" s="1"/>
  <c r="D133" i="114" s="1"/>
  <c r="N36" i="73"/>
  <c r="L36" i="73"/>
  <c r="H30" i="73"/>
  <c r="I60" i="101"/>
  <c r="I58" i="101"/>
  <c r="I56" i="101"/>
  <c r="F29" i="73"/>
  <c r="F30" i="73" s="1"/>
  <c r="I80" i="27"/>
  <c r="I79" i="27"/>
  <c r="I129" i="114"/>
  <c r="E129" i="114"/>
  <c r="J129" i="114"/>
  <c r="I127" i="114"/>
  <c r="E127" i="114"/>
  <c r="J127" i="114"/>
  <c r="L35" i="73"/>
  <c r="E128" i="85"/>
  <c r="E161" i="85"/>
  <c r="G161" i="85"/>
  <c r="E127" i="85"/>
  <c r="I29" i="101"/>
  <c r="M12" i="104"/>
  <c r="J116" i="104" s="1"/>
  <c r="M11" i="104"/>
  <c r="I87" i="105"/>
  <c r="J87" i="105" s="1"/>
  <c r="I70" i="106"/>
  <c r="J70" i="106" s="1"/>
  <c r="M14" i="104"/>
  <c r="I83" i="104"/>
  <c r="J83" i="104" s="1"/>
  <c r="I88" i="105"/>
  <c r="J88" i="105" s="1"/>
  <c r="I71" i="106"/>
  <c r="J71" i="106" s="1"/>
  <c r="I41" i="104"/>
  <c r="J41" i="104" s="1"/>
  <c r="I82" i="104"/>
  <c r="J82" i="104" s="1"/>
  <c r="I87" i="91"/>
  <c r="J87" i="91" s="1"/>
  <c r="I88" i="91"/>
  <c r="J88" i="91" s="1"/>
  <c r="Q50" i="27"/>
  <c r="Q49" i="27"/>
  <c r="Q48" i="27"/>
  <c r="Q47" i="27"/>
  <c r="Q46" i="27"/>
  <c r="Q8" i="27"/>
  <c r="M16" i="91"/>
  <c r="M15" i="91"/>
  <c r="D48" i="114"/>
  <c r="D68" i="91"/>
  <c r="C58" i="91"/>
  <c r="J133" i="114" l="1"/>
  <c r="E133" i="114"/>
  <c r="I133" i="114"/>
  <c r="E48" i="114"/>
  <c r="J17" i="114"/>
  <c r="K17" i="114" s="1"/>
  <c r="J124" i="104"/>
  <c r="D109" i="91"/>
  <c r="D75" i="91"/>
  <c r="J112" i="104"/>
  <c r="I59" i="101"/>
  <c r="E162" i="85"/>
  <c r="E163" i="85"/>
  <c r="I33" i="101"/>
  <c r="J29" i="73" s="1"/>
  <c r="G163" i="85"/>
  <c r="G162" i="85"/>
  <c r="H31" i="73"/>
  <c r="J134" i="114"/>
  <c r="J62" i="101"/>
  <c r="F31" i="73" s="1"/>
  <c r="G134" i="114"/>
  <c r="D113" i="114"/>
  <c r="D87" i="104"/>
  <c r="E87" i="104" s="1"/>
  <c r="D92" i="105"/>
  <c r="E92" i="105" s="1"/>
  <c r="D73" i="106"/>
  <c r="E73" i="106" s="1"/>
  <c r="D111" i="114"/>
  <c r="D90" i="105"/>
  <c r="D85" i="104"/>
  <c r="E85" i="104" s="1"/>
  <c r="D90" i="91"/>
  <c r="E90" i="91" s="1"/>
  <c r="I46" i="114"/>
  <c r="J46" i="114" s="1"/>
  <c r="I30" i="106"/>
  <c r="J30" i="106" s="1"/>
  <c r="I41" i="105"/>
  <c r="J41" i="105" s="1"/>
  <c r="I39" i="91"/>
  <c r="J39" i="91" s="1"/>
  <c r="N17" i="104"/>
  <c r="E147" i="85"/>
  <c r="J72" i="106"/>
  <c r="F155" i="85"/>
  <c r="J84" i="104"/>
  <c r="B62" i="91"/>
  <c r="J89" i="105"/>
  <c r="E90" i="105"/>
  <c r="D32" i="106"/>
  <c r="E32" i="106" s="1"/>
  <c r="D43" i="105"/>
  <c r="E43" i="105" s="1"/>
  <c r="D41" i="91"/>
  <c r="E41" i="91" s="1"/>
  <c r="D75" i="106"/>
  <c r="E75" i="106" s="1"/>
  <c r="D43" i="104"/>
  <c r="E43" i="104" s="1"/>
  <c r="J89" i="91"/>
  <c r="D92" i="91"/>
  <c r="E92" i="91" s="1"/>
  <c r="E65" i="91"/>
  <c r="E66" i="91"/>
  <c r="E67" i="91"/>
  <c r="E68" i="91"/>
  <c r="O49" i="27"/>
  <c r="D17" i="91"/>
  <c r="C15" i="91"/>
  <c r="M13" i="91"/>
  <c r="F106" i="27"/>
  <c r="D50" i="114"/>
  <c r="F14" i="27"/>
  <c r="H57" i="114"/>
  <c r="H58" i="114"/>
  <c r="D91" i="114" l="1"/>
  <c r="I91" i="114"/>
  <c r="E91" i="114"/>
  <c r="E50" i="114"/>
  <c r="J18" i="114"/>
  <c r="K18" i="114" s="1"/>
  <c r="N18" i="114" s="1"/>
  <c r="N17" i="114"/>
  <c r="E120" i="104"/>
  <c r="E75" i="91"/>
  <c r="E109" i="91"/>
  <c r="E74" i="91"/>
  <c r="E108" i="91"/>
  <c r="E107" i="91"/>
  <c r="E106" i="91"/>
  <c r="E72" i="91"/>
  <c r="J16" i="91"/>
  <c r="N16" i="91" s="1"/>
  <c r="J14" i="91"/>
  <c r="J17" i="91"/>
  <c r="N17" i="91" s="1"/>
  <c r="J15" i="91"/>
  <c r="J127" i="91"/>
  <c r="F168" i="84" s="1"/>
  <c r="L29" i="73"/>
  <c r="N29" i="73"/>
  <c r="J30" i="73"/>
  <c r="J131" i="101"/>
  <c r="F37" i="73" s="1"/>
  <c r="F38" i="73" s="1"/>
  <c r="H32" i="73"/>
  <c r="F32" i="73"/>
  <c r="C137" i="114"/>
  <c r="E111" i="114"/>
  <c r="M17" i="114"/>
  <c r="D112" i="114"/>
  <c r="D86" i="104"/>
  <c r="E86" i="104" s="1"/>
  <c r="D91" i="105"/>
  <c r="E91" i="105" s="1"/>
  <c r="D109" i="114"/>
  <c r="D88" i="105"/>
  <c r="E88" i="105" s="1"/>
  <c r="D83" i="104"/>
  <c r="E83" i="104" s="1"/>
  <c r="E113" i="114"/>
  <c r="M18" i="114"/>
  <c r="I127" i="101"/>
  <c r="D108" i="114"/>
  <c r="D87" i="105"/>
  <c r="E87" i="105" s="1"/>
  <c r="D82" i="104"/>
  <c r="E82" i="104" s="1"/>
  <c r="J91" i="114"/>
  <c r="D110" i="114"/>
  <c r="M16" i="114" s="1"/>
  <c r="D89" i="105"/>
  <c r="E89" i="105" s="1"/>
  <c r="D84" i="104"/>
  <c r="E84" i="104" s="1"/>
  <c r="I55" i="101"/>
  <c r="I18" i="91"/>
  <c r="N18" i="91" s="1"/>
  <c r="F147" i="85"/>
  <c r="F135" i="85"/>
  <c r="A57" i="91"/>
  <c r="A61" i="91"/>
  <c r="A59" i="91"/>
  <c r="A60" i="91"/>
  <c r="A58" i="91"/>
  <c r="D72" i="106"/>
  <c r="E72" i="106" s="1"/>
  <c r="D34" i="106"/>
  <c r="E34" i="106" s="1"/>
  <c r="D45" i="105"/>
  <c r="E45" i="105" s="1"/>
  <c r="D43" i="91"/>
  <c r="E43" i="91" s="1"/>
  <c r="D71" i="106"/>
  <c r="E71" i="106" s="1"/>
  <c r="D74" i="106"/>
  <c r="E74" i="106" s="1"/>
  <c r="D70" i="106"/>
  <c r="E70" i="106" s="1"/>
  <c r="D45" i="104"/>
  <c r="E45" i="104" s="1"/>
  <c r="H51" i="91"/>
  <c r="D89" i="91"/>
  <c r="E89" i="91" s="1"/>
  <c r="D88" i="91"/>
  <c r="E88" i="91" s="1"/>
  <c r="D91" i="91"/>
  <c r="E91" i="91" s="1"/>
  <c r="D87" i="91"/>
  <c r="E87" i="91" s="1"/>
  <c r="C17" i="91"/>
  <c r="I15" i="91" s="1"/>
  <c r="O47" i="27"/>
  <c r="O50" i="27"/>
  <c r="O46" i="27"/>
  <c r="O48" i="27"/>
  <c r="F124" i="85" l="1"/>
  <c r="F47" i="73" s="1"/>
  <c r="F57" i="73" s="1"/>
  <c r="I135" i="91"/>
  <c r="I131" i="91"/>
  <c r="N14" i="91"/>
  <c r="J131" i="91" s="1"/>
  <c r="I139" i="91"/>
  <c r="J139" i="91"/>
  <c r="N30" i="73"/>
  <c r="L30" i="73"/>
  <c r="F28" i="73"/>
  <c r="I126" i="101"/>
  <c r="K131" i="101"/>
  <c r="H37" i="73" s="1"/>
  <c r="H27" i="73" s="1"/>
  <c r="F27" i="73"/>
  <c r="E88" i="104"/>
  <c r="E101" i="104" s="1"/>
  <c r="E112" i="114"/>
  <c r="M19" i="114"/>
  <c r="E109" i="114"/>
  <c r="M15" i="114"/>
  <c r="E76" i="106"/>
  <c r="E108" i="114"/>
  <c r="M14" i="114"/>
  <c r="E110" i="114"/>
  <c r="E49" i="73"/>
  <c r="E59" i="73" s="1"/>
  <c r="E124" i="85"/>
  <c r="E47" i="73" s="1"/>
  <c r="E57" i="73" s="1"/>
  <c r="J143" i="91"/>
  <c r="I143" i="91"/>
  <c r="E184" i="84" s="1"/>
  <c r="M57" i="91"/>
  <c r="M64" i="91" s="1"/>
  <c r="K57" i="91"/>
  <c r="J57" i="91"/>
  <c r="J64" i="91" s="1"/>
  <c r="I57" i="91"/>
  <c r="I64" i="91" s="1"/>
  <c r="L57" i="91"/>
  <c r="L64" i="91" s="1"/>
  <c r="J60" i="91"/>
  <c r="J67" i="91" s="1"/>
  <c r="L60" i="91"/>
  <c r="M60" i="91"/>
  <c r="K60" i="91"/>
  <c r="I60" i="91"/>
  <c r="J59" i="91"/>
  <c r="J66" i="91" s="1"/>
  <c r="L59" i="91"/>
  <c r="I59" i="91"/>
  <c r="K59" i="91"/>
  <c r="M59" i="91"/>
  <c r="L61" i="91"/>
  <c r="J61" i="91"/>
  <c r="J68" i="91" s="1"/>
  <c r="I61" i="91"/>
  <c r="M61" i="91"/>
  <c r="M68" i="91" s="1"/>
  <c r="K61" i="91"/>
  <c r="J58" i="91"/>
  <c r="J65" i="91" s="1"/>
  <c r="L58" i="91"/>
  <c r="M58" i="91"/>
  <c r="I58" i="91"/>
  <c r="K58" i="91"/>
  <c r="I62" i="101"/>
  <c r="J31" i="73" s="1"/>
  <c r="E93" i="105"/>
  <c r="E93" i="91"/>
  <c r="M109" i="91" l="1"/>
  <c r="M75" i="91"/>
  <c r="M71" i="91"/>
  <c r="M105" i="91"/>
  <c r="L71" i="91"/>
  <c r="L105" i="91"/>
  <c r="K20" i="91"/>
  <c r="D138" i="91"/>
  <c r="N15" i="91"/>
  <c r="J75" i="91"/>
  <c r="J109" i="91"/>
  <c r="J74" i="91"/>
  <c r="J108" i="91"/>
  <c r="J72" i="91"/>
  <c r="J106" i="91"/>
  <c r="J105" i="91"/>
  <c r="J71" i="91"/>
  <c r="J107" i="91"/>
  <c r="I71" i="91"/>
  <c r="I105" i="91"/>
  <c r="N20" i="91"/>
  <c r="D82" i="106"/>
  <c r="I131" i="101"/>
  <c r="J37" i="73" s="1"/>
  <c r="L37" i="73" s="1"/>
  <c r="H38" i="73"/>
  <c r="H28" i="73" s="1"/>
  <c r="L32" i="73"/>
  <c r="N31" i="73"/>
  <c r="J32" i="73"/>
  <c r="F101" i="104"/>
  <c r="H101" i="104"/>
  <c r="I101" i="104"/>
  <c r="D101" i="104"/>
  <c r="E114" i="114"/>
  <c r="F80" i="86"/>
  <c r="F49" i="73" s="1"/>
  <c r="F59" i="73" s="1"/>
  <c r="M65" i="91"/>
  <c r="M67" i="91"/>
  <c r="M66" i="91"/>
  <c r="J135" i="91"/>
  <c r="E110" i="91"/>
  <c r="F184" i="84"/>
  <c r="L31" i="73"/>
  <c r="I107" i="105"/>
  <c r="G107" i="105"/>
  <c r="H107" i="105"/>
  <c r="F107" i="105"/>
  <c r="G108" i="105" l="1"/>
  <c r="G102" i="104"/>
  <c r="M72" i="91"/>
  <c r="M106" i="91"/>
  <c r="M107" i="91"/>
  <c r="M74" i="91"/>
  <c r="M108" i="91"/>
  <c r="D137" i="91"/>
  <c r="E162" i="84"/>
  <c r="J110" i="91"/>
  <c r="D83" i="106"/>
  <c r="J27" i="73"/>
  <c r="L27" i="73" s="1"/>
  <c r="J38" i="73"/>
  <c r="N37" i="73"/>
  <c r="N27" i="73" s="1"/>
  <c r="N32" i="73"/>
  <c r="M110" i="91" l="1"/>
  <c r="N38" i="73"/>
  <c r="N28" i="73" s="1"/>
  <c r="L38" i="73"/>
  <c r="J28" i="73"/>
  <c r="F66" i="91"/>
  <c r="F67" i="91"/>
  <c r="K67" i="91"/>
  <c r="K65" i="91"/>
  <c r="F68" i="91"/>
  <c r="F109" i="91" s="1"/>
  <c r="K68" i="91"/>
  <c r="K66" i="91"/>
  <c r="K64" i="91"/>
  <c r="F65" i="91"/>
  <c r="F64" i="91"/>
  <c r="I68" i="91"/>
  <c r="D66" i="91"/>
  <c r="D67" i="91"/>
  <c r="D65" i="91"/>
  <c r="I65" i="91"/>
  <c r="I66" i="91"/>
  <c r="I67" i="91"/>
  <c r="E180" i="84"/>
  <c r="L67" i="91"/>
  <c r="G68" i="91"/>
  <c r="L68" i="91"/>
  <c r="G67" i="91"/>
  <c r="G65" i="91"/>
  <c r="G66" i="91"/>
  <c r="L65" i="91"/>
  <c r="G64" i="91"/>
  <c r="L66" i="91"/>
  <c r="E176" i="84"/>
  <c r="F189" i="84" s="1"/>
  <c r="G109" i="91" l="1"/>
  <c r="G75" i="91"/>
  <c r="L107" i="91"/>
  <c r="L108" i="91"/>
  <c r="L74" i="91"/>
  <c r="G105" i="91"/>
  <c r="G71" i="91"/>
  <c r="L72" i="91"/>
  <c r="L106" i="91"/>
  <c r="G107" i="91"/>
  <c r="G106" i="91"/>
  <c r="G72" i="91"/>
  <c r="G74" i="91"/>
  <c r="G108" i="91"/>
  <c r="L109" i="91"/>
  <c r="L75" i="91"/>
  <c r="K106" i="91"/>
  <c r="K72" i="91"/>
  <c r="F71" i="91"/>
  <c r="F105" i="91"/>
  <c r="F106" i="91"/>
  <c r="F72" i="91"/>
  <c r="K105" i="91"/>
  <c r="K71" i="91"/>
  <c r="K107" i="91"/>
  <c r="K75" i="91"/>
  <c r="K109" i="91"/>
  <c r="K108" i="91"/>
  <c r="K74" i="91"/>
  <c r="F108" i="91"/>
  <c r="F74" i="91"/>
  <c r="F107" i="91"/>
  <c r="D107" i="91"/>
  <c r="I109" i="91"/>
  <c r="I75" i="91"/>
  <c r="I108" i="91"/>
  <c r="I74" i="91"/>
  <c r="I107" i="91"/>
  <c r="I106" i="91"/>
  <c r="I72" i="91"/>
  <c r="D106" i="91"/>
  <c r="D72" i="91"/>
  <c r="D108" i="91"/>
  <c r="D74" i="91"/>
  <c r="G189" i="84"/>
  <c r="G190" i="84"/>
  <c r="G191" i="84" s="1"/>
  <c r="L28" i="73"/>
  <c r="F75" i="91"/>
  <c r="F190" i="84"/>
  <c r="F180" i="84"/>
  <c r="F176" i="84"/>
  <c r="D110" i="91" l="1"/>
  <c r="G111" i="91" s="1"/>
  <c r="F110" i="91"/>
  <c r="K110" i="91"/>
  <c r="G110" i="91"/>
  <c r="L110" i="91"/>
  <c r="I110" i="91"/>
  <c r="M111" i="91" s="1"/>
  <c r="F192" i="84"/>
  <c r="F191" i="84"/>
  <c r="G192" i="84"/>
  <c r="C114" i="91" l="1"/>
  <c r="D23" i="80" l="1"/>
  <c r="H51" i="114" l="1"/>
  <c r="H46" i="105"/>
  <c r="D19" i="80"/>
  <c r="D20" i="80"/>
  <c r="D24" i="80"/>
  <c r="D25" i="80"/>
  <c r="H44" i="91" s="1"/>
  <c r="D27" i="80"/>
  <c r="D22" i="80"/>
  <c r="D28" i="80"/>
  <c r="D21" i="80"/>
  <c r="I72" i="105" l="1"/>
  <c r="I76" i="105" s="1"/>
  <c r="H72" i="105"/>
  <c r="H76" i="105" s="1"/>
  <c r="E93" i="114"/>
  <c r="D93" i="114"/>
  <c r="I93" i="114"/>
  <c r="H73" i="91"/>
  <c r="H76" i="91" s="1"/>
  <c r="E73" i="91"/>
  <c r="J73" i="91"/>
  <c r="J76" i="91" s="1"/>
  <c r="M73" i="91"/>
  <c r="M76" i="91" s="1"/>
  <c r="L73" i="91"/>
  <c r="G73" i="91"/>
  <c r="G76" i="91" s="1"/>
  <c r="K73" i="91"/>
  <c r="K76" i="91" s="1"/>
  <c r="F73" i="91"/>
  <c r="I73" i="91"/>
  <c r="I76" i="91" s="1"/>
  <c r="D73" i="91"/>
  <c r="D76" i="91" s="1"/>
  <c r="J93" i="114"/>
  <c r="D72" i="105"/>
  <c r="H35" i="106"/>
  <c r="H46" i="104"/>
  <c r="G68" i="104" l="1"/>
  <c r="E68" i="104"/>
  <c r="H68" i="104"/>
  <c r="I68" i="104"/>
  <c r="I71" i="104" s="1"/>
  <c r="F68" i="104"/>
  <c r="D68" i="104"/>
  <c r="H106" i="27" l="1"/>
  <c r="H108" i="27" s="1"/>
  <c r="H103" i="27"/>
  <c r="H105" i="27" s="1"/>
  <c r="H100" i="27"/>
  <c r="H102" i="27" s="1"/>
  <c r="H97" i="27"/>
  <c r="H99" i="27" s="1"/>
  <c r="H96" i="27"/>
  <c r="H91" i="27"/>
  <c r="H93" i="27" s="1"/>
  <c r="H61" i="27"/>
  <c r="H63" i="27" s="1"/>
  <c r="G106" i="27"/>
  <c r="G103" i="27"/>
  <c r="G105" i="27" s="1"/>
  <c r="G100" i="27"/>
  <c r="G102" i="27" s="1"/>
  <c r="G97" i="27"/>
  <c r="G99" i="27" s="1"/>
  <c r="G96" i="27"/>
  <c r="G91" i="27"/>
  <c r="G93" i="27" s="1"/>
  <c r="G61" i="27"/>
  <c r="G63" i="27" s="1"/>
  <c r="F108" i="27"/>
  <c r="F103" i="27"/>
  <c r="F105" i="27" s="1"/>
  <c r="F100" i="27"/>
  <c r="F102" i="27" s="1"/>
  <c r="F97" i="27"/>
  <c r="F99" i="27" s="1"/>
  <c r="F96" i="27"/>
  <c r="F91" i="27"/>
  <c r="F93" i="27" s="1"/>
  <c r="F61" i="27"/>
  <c r="F63" i="27" s="1"/>
  <c r="I40" i="104" l="1"/>
  <c r="J40" i="104" s="1"/>
  <c r="J42" i="104" s="1"/>
  <c r="G108" i="27"/>
  <c r="D46" i="114"/>
  <c r="D49" i="114"/>
  <c r="E49" i="114" l="1"/>
  <c r="J19" i="114"/>
  <c r="K19" i="114" s="1"/>
  <c r="N19" i="114" s="1"/>
  <c r="E46" i="114"/>
  <c r="J15" i="114"/>
  <c r="K15" i="114" s="1"/>
  <c r="N15" i="114" s="1"/>
  <c r="D47" i="114"/>
  <c r="D31" i="106"/>
  <c r="E31" i="106" s="1"/>
  <c r="D42" i="104"/>
  <c r="E42" i="104" s="1"/>
  <c r="D42" i="105"/>
  <c r="E42" i="105" s="1"/>
  <c r="D40" i="91"/>
  <c r="E40" i="91" s="1"/>
  <c r="D33" i="106"/>
  <c r="E33" i="106" s="1"/>
  <c r="D44" i="105"/>
  <c r="E44" i="105" s="1"/>
  <c r="D42" i="91"/>
  <c r="E42" i="91" s="1"/>
  <c r="D41" i="105"/>
  <c r="E41" i="105" s="1"/>
  <c r="D30" i="106"/>
  <c r="E30" i="106" s="1"/>
  <c r="D39" i="91"/>
  <c r="E39" i="91" s="1"/>
  <c r="D44" i="104"/>
  <c r="E44" i="104" s="1"/>
  <c r="D41" i="104"/>
  <c r="E41" i="104" s="1"/>
  <c r="D45" i="114"/>
  <c r="E45" i="114" l="1"/>
  <c r="J14" i="114"/>
  <c r="K14" i="114" s="1"/>
  <c r="E47" i="114"/>
  <c r="E51" i="114" s="1"/>
  <c r="J16" i="114"/>
  <c r="K16" i="114" s="1"/>
  <c r="N16" i="114" s="1"/>
  <c r="I38" i="91"/>
  <c r="J38" i="91" s="1"/>
  <c r="J40" i="91" s="1"/>
  <c r="I29" i="106"/>
  <c r="J29" i="106" s="1"/>
  <c r="J31" i="106" s="1"/>
  <c r="I45" i="114"/>
  <c r="J45" i="114" s="1"/>
  <c r="J47" i="114" s="1"/>
  <c r="I40" i="105"/>
  <c r="J40" i="105" s="1"/>
  <c r="J42" i="105" s="1"/>
  <c r="D40" i="105"/>
  <c r="E40" i="105" s="1"/>
  <c r="E46" i="105" s="1"/>
  <c r="D29" i="106"/>
  <c r="E29" i="106" s="1"/>
  <c r="E35" i="106" s="1"/>
  <c r="D38" i="91"/>
  <c r="E38" i="91" s="1"/>
  <c r="E44" i="91" s="1"/>
  <c r="D40" i="104"/>
  <c r="E40" i="104" s="1"/>
  <c r="D27" i="2"/>
  <c r="E92" i="114" l="1"/>
  <c r="E97" i="114" s="1"/>
  <c r="I92" i="114"/>
  <c r="I97" i="114" s="1"/>
  <c r="D92" i="114"/>
  <c r="D97" i="114" s="1"/>
  <c r="N14" i="114"/>
  <c r="K21" i="114"/>
  <c r="K26" i="114"/>
  <c r="E46" i="104"/>
  <c r="G71" i="104" s="1"/>
  <c r="I125" i="104" s="1"/>
  <c r="J125" i="104" s="1"/>
  <c r="E71" i="105"/>
  <c r="E76" i="105" s="1"/>
  <c r="F71" i="105"/>
  <c r="F76" i="105" s="1"/>
  <c r="G71" i="105"/>
  <c r="D71" i="105"/>
  <c r="D76" i="105" s="1"/>
  <c r="J92" i="114"/>
  <c r="J97" i="114" s="1"/>
  <c r="D33" i="2"/>
  <c r="N26" i="114" l="1"/>
  <c r="N21" i="114"/>
  <c r="D159" i="114"/>
  <c r="E144" i="113"/>
  <c r="G50" i="73" s="1"/>
  <c r="G60" i="73" s="1"/>
  <c r="G98" i="114"/>
  <c r="M98" i="114"/>
  <c r="I125" i="105"/>
  <c r="J125" i="105" s="1"/>
  <c r="J123" i="105" s="1"/>
  <c r="G76" i="105"/>
  <c r="I129" i="105" s="1"/>
  <c r="J129" i="105" s="1"/>
  <c r="F76" i="91"/>
  <c r="I133" i="105"/>
  <c r="H71" i="104"/>
  <c r="I129" i="104" s="1"/>
  <c r="J129" i="104" s="1"/>
  <c r="F152" i="85" s="1"/>
  <c r="I117" i="105"/>
  <c r="D71" i="104"/>
  <c r="I133" i="104"/>
  <c r="J133" i="104" s="1"/>
  <c r="F156" i="85" s="1"/>
  <c r="E76" i="91"/>
  <c r="L76" i="91"/>
  <c r="M77" i="91" s="1"/>
  <c r="I121" i="105"/>
  <c r="J121" i="105" s="1"/>
  <c r="E71" i="104"/>
  <c r="I117" i="104" s="1"/>
  <c r="I115" i="104" s="1"/>
  <c r="F71" i="104"/>
  <c r="I121" i="104" s="1"/>
  <c r="I119" i="104" s="1"/>
  <c r="E93" i="86"/>
  <c r="F148" i="85"/>
  <c r="J123" i="104"/>
  <c r="F146" i="85" s="1"/>
  <c r="E148" i="85"/>
  <c r="C101" i="114" l="1"/>
  <c r="E159" i="114"/>
  <c r="F144" i="113"/>
  <c r="H50" i="73" s="1"/>
  <c r="G77" i="105"/>
  <c r="I113" i="104"/>
  <c r="J113" i="104" s="1"/>
  <c r="G72" i="104"/>
  <c r="G77" i="91"/>
  <c r="I144" i="91"/>
  <c r="J144" i="91" s="1"/>
  <c r="J142" i="91" s="1"/>
  <c r="F183" i="84" s="1"/>
  <c r="I123" i="105"/>
  <c r="E147" i="88" s="1"/>
  <c r="E89" i="86"/>
  <c r="F89" i="86" s="1"/>
  <c r="F87" i="86" s="1"/>
  <c r="D60" i="106"/>
  <c r="C63" i="106" s="1"/>
  <c r="F93" i="86"/>
  <c r="F91" i="86" s="1"/>
  <c r="E91" i="86"/>
  <c r="I137" i="105"/>
  <c r="J137" i="105" s="1"/>
  <c r="F161" i="88" s="1"/>
  <c r="I131" i="105"/>
  <c r="E155" i="88" s="1"/>
  <c r="J133" i="105"/>
  <c r="J131" i="105" s="1"/>
  <c r="E141" i="88"/>
  <c r="J117" i="105"/>
  <c r="J115" i="105" s="1"/>
  <c r="F139" i="88" s="1"/>
  <c r="J119" i="105"/>
  <c r="F143" i="88" s="1"/>
  <c r="I136" i="91"/>
  <c r="E177" i="84" s="1"/>
  <c r="I140" i="91"/>
  <c r="J140" i="91" s="1"/>
  <c r="F181" i="84" s="1"/>
  <c r="I132" i="91"/>
  <c r="E173" i="84" s="1"/>
  <c r="E140" i="85"/>
  <c r="I115" i="105"/>
  <c r="E139" i="88" s="1"/>
  <c r="E156" i="85"/>
  <c r="I128" i="91"/>
  <c r="I126" i="91" s="1"/>
  <c r="E167" i="84" s="1"/>
  <c r="J131" i="104"/>
  <c r="F154" i="85" s="1"/>
  <c r="E144" i="85"/>
  <c r="J121" i="104"/>
  <c r="F140" i="85" s="1"/>
  <c r="J117" i="104"/>
  <c r="J115" i="104" s="1"/>
  <c r="J127" i="104"/>
  <c r="F150" i="85" s="1"/>
  <c r="E152" i="85"/>
  <c r="J127" i="105"/>
  <c r="F151" i="88" s="1"/>
  <c r="I127" i="105"/>
  <c r="E151" i="88" s="1"/>
  <c r="E149" i="88"/>
  <c r="E157" i="88"/>
  <c r="E153" i="88"/>
  <c r="I131" i="104"/>
  <c r="E154" i="85" s="1"/>
  <c r="E138" i="85"/>
  <c r="I123" i="104"/>
  <c r="E146" i="85" s="1"/>
  <c r="I127" i="104"/>
  <c r="E150" i="85" s="1"/>
  <c r="E142" i="85"/>
  <c r="D158" i="114" l="1"/>
  <c r="D157" i="114" s="1"/>
  <c r="D160" i="114" s="1"/>
  <c r="C139" i="114"/>
  <c r="E158" i="114" s="1"/>
  <c r="L50" i="73"/>
  <c r="L60" i="73" s="1"/>
  <c r="H60" i="73"/>
  <c r="I111" i="104"/>
  <c r="E134" i="85" s="1"/>
  <c r="D121" i="104"/>
  <c r="D119" i="104" s="1"/>
  <c r="D124" i="104" s="1"/>
  <c r="E129" i="85" s="1"/>
  <c r="G129" i="85" s="1"/>
  <c r="C75" i="104"/>
  <c r="E121" i="104" s="1"/>
  <c r="E119" i="104" s="1"/>
  <c r="E136" i="85"/>
  <c r="D125" i="105"/>
  <c r="D123" i="105" s="1"/>
  <c r="C80" i="105"/>
  <c r="E125" i="105" s="1"/>
  <c r="F131" i="88" s="1"/>
  <c r="H48" i="73" s="1"/>
  <c r="F185" i="84"/>
  <c r="E185" i="84"/>
  <c r="I142" i="91"/>
  <c r="E183" i="84" s="1"/>
  <c r="E87" i="86"/>
  <c r="E81" i="86"/>
  <c r="G49" i="73" s="1"/>
  <c r="G59" i="73" s="1"/>
  <c r="I135" i="105"/>
  <c r="E159" i="88" s="1"/>
  <c r="E161" i="88"/>
  <c r="E145" i="88"/>
  <c r="I119" i="105"/>
  <c r="E143" i="88" s="1"/>
  <c r="E181" i="84"/>
  <c r="J138" i="91"/>
  <c r="F179" i="84" s="1"/>
  <c r="I134" i="91"/>
  <c r="E175" i="84" s="1"/>
  <c r="F145" i="88"/>
  <c r="J136" i="91"/>
  <c r="J134" i="91" s="1"/>
  <c r="F175" i="84" s="1"/>
  <c r="J119" i="104"/>
  <c r="F142" i="85" s="1"/>
  <c r="I130" i="91"/>
  <c r="J132" i="91"/>
  <c r="J130" i="91" s="1"/>
  <c r="I138" i="91"/>
  <c r="E179" i="84" s="1"/>
  <c r="E169" i="84"/>
  <c r="J128" i="91"/>
  <c r="J126" i="91" s="1"/>
  <c r="F167" i="84" s="1"/>
  <c r="J135" i="105"/>
  <c r="F159" i="88" s="1"/>
  <c r="F144" i="85"/>
  <c r="C80" i="91"/>
  <c r="D136" i="91" s="1"/>
  <c r="F141" i="88"/>
  <c r="E143" i="113"/>
  <c r="F136" i="85"/>
  <c r="J111" i="104"/>
  <c r="F134" i="85" s="1"/>
  <c r="F153" i="88"/>
  <c r="F147" i="88"/>
  <c r="F149" i="88"/>
  <c r="F157" i="88"/>
  <c r="F155" i="88"/>
  <c r="F36" i="2"/>
  <c r="E125" i="85" l="1"/>
  <c r="G47" i="73" s="1"/>
  <c r="G57" i="73" s="1"/>
  <c r="E123" i="105"/>
  <c r="F129" i="88" s="1"/>
  <c r="J48" i="73" s="1"/>
  <c r="J58" i="73" s="1"/>
  <c r="F138" i="85"/>
  <c r="E142" i="113"/>
  <c r="I50" i="73" s="1"/>
  <c r="K50" i="73" s="1"/>
  <c r="K60" i="73" s="1"/>
  <c r="E50" i="73"/>
  <c r="E60" i="73" s="1"/>
  <c r="M47" i="73"/>
  <c r="M57" i="73" s="1"/>
  <c r="F177" i="84"/>
  <c r="H58" i="73"/>
  <c r="F173" i="84"/>
  <c r="F169" i="84"/>
  <c r="C116" i="91"/>
  <c r="E136" i="91" s="1"/>
  <c r="E131" i="88"/>
  <c r="G48" i="73" s="1"/>
  <c r="F143" i="113"/>
  <c r="E157" i="114"/>
  <c r="E160" i="114" s="1"/>
  <c r="F81" i="86"/>
  <c r="H49" i="73" s="1"/>
  <c r="H59" i="73" s="1"/>
  <c r="C108" i="106"/>
  <c r="E79" i="86"/>
  <c r="E123" i="85"/>
  <c r="F125" i="85"/>
  <c r="H47" i="73" s="1"/>
  <c r="H57" i="73" s="1"/>
  <c r="E124" i="104"/>
  <c r="F129" i="85" s="1"/>
  <c r="N47" i="73" s="1"/>
  <c r="N57" i="73" s="1"/>
  <c r="D128" i="105"/>
  <c r="E129" i="88"/>
  <c r="F132" i="88" l="1"/>
  <c r="E128" i="105"/>
  <c r="F135" i="88" s="1"/>
  <c r="N48" i="73" s="1"/>
  <c r="N58" i="73" s="1"/>
  <c r="I49" i="73"/>
  <c r="I59" i="73" s="1"/>
  <c r="E83" i="86"/>
  <c r="E145" i="113"/>
  <c r="I60" i="73"/>
  <c r="E146" i="113"/>
  <c r="G146" i="113" s="1"/>
  <c r="F142" i="113"/>
  <c r="F146" i="113" s="1"/>
  <c r="N50" i="73" s="1"/>
  <c r="N60" i="73" s="1"/>
  <c r="F50" i="73"/>
  <c r="F60" i="73" s="1"/>
  <c r="L48" i="73"/>
  <c r="L58" i="73" s="1"/>
  <c r="E132" i="88"/>
  <c r="I48" i="73"/>
  <c r="I58" i="73" s="1"/>
  <c r="I47" i="73"/>
  <c r="K47" i="73" s="1"/>
  <c r="K57" i="73" s="1"/>
  <c r="E126" i="85"/>
  <c r="G58" i="73"/>
  <c r="E82" i="86"/>
  <c r="F79" i="86"/>
  <c r="F123" i="85"/>
  <c r="E135" i="88"/>
  <c r="G135" i="88" s="1"/>
  <c r="K49" i="73" l="1"/>
  <c r="K59" i="73" s="1"/>
  <c r="G83" i="86"/>
  <c r="M49" i="73"/>
  <c r="M59" i="73" s="1"/>
  <c r="J49" i="73"/>
  <c r="J59" i="73" s="1"/>
  <c r="F83" i="86"/>
  <c r="N49" i="73" s="1"/>
  <c r="N59" i="73" s="1"/>
  <c r="M50" i="73"/>
  <c r="M60" i="73" s="1"/>
  <c r="F145" i="113"/>
  <c r="K48" i="73"/>
  <c r="K58" i="73" s="1"/>
  <c r="M48" i="73"/>
  <c r="M58" i="73" s="1"/>
  <c r="I57" i="73"/>
  <c r="J47" i="73"/>
  <c r="L47" i="73" s="1"/>
  <c r="L57" i="73" s="1"/>
  <c r="F126" i="85"/>
  <c r="F82" i="86"/>
  <c r="L49" i="73" l="1"/>
  <c r="L59" i="73" s="1"/>
  <c r="J57" i="73"/>
  <c r="E6" i="2" l="1"/>
  <c r="D135" i="91" l="1"/>
  <c r="D134" i="91" s="1"/>
  <c r="E161" i="84" l="1"/>
  <c r="E135" i="91"/>
  <c r="E134" i="91" s="1"/>
  <c r="F159" i="84" l="1"/>
  <c r="H46" i="73" s="1"/>
  <c r="E159" i="84"/>
  <c r="F158" i="84"/>
  <c r="F46" i="73" s="1"/>
  <c r="E158" i="84"/>
  <c r="E46" i="73" s="1"/>
  <c r="E171" i="84"/>
  <c r="E172" i="84"/>
  <c r="E189" i="84" s="1"/>
  <c r="E157" i="84"/>
  <c r="E160" i="84" s="1"/>
  <c r="F172" i="84"/>
  <c r="F56" i="73" l="1"/>
  <c r="F55" i="73" s="1"/>
  <c r="F16" i="73" s="1"/>
  <c r="F45" i="73"/>
  <c r="F15" i="73" s="1"/>
  <c r="E56" i="73"/>
  <c r="E45" i="73"/>
  <c r="E15" i="73" s="1"/>
  <c r="AJ8" i="73" s="1"/>
  <c r="H56" i="73"/>
  <c r="H55" i="73" s="1"/>
  <c r="H16" i="73" s="1"/>
  <c r="H45" i="73"/>
  <c r="H15" i="73" s="1"/>
  <c r="E190" i="84"/>
  <c r="F171" i="84"/>
  <c r="F157" i="84"/>
  <c r="F160" i="84" s="1"/>
  <c r="G46" i="73"/>
  <c r="E192" i="84" l="1"/>
  <c r="E191" i="84"/>
  <c r="J46" i="73"/>
  <c r="E55" i="73"/>
  <c r="E16" i="73" s="1"/>
  <c r="G56" i="73"/>
  <c r="G55" i="73" s="1"/>
  <c r="G16" i="73" s="1"/>
  <c r="G45" i="73"/>
  <c r="G15" i="73" s="1"/>
  <c r="AJ9" i="73" s="1"/>
  <c r="E139" i="91"/>
  <c r="J56" i="73" l="1"/>
  <c r="J55" i="73" s="1"/>
  <c r="J45" i="73"/>
  <c r="L46" i="73"/>
  <c r="L56" i="73" s="1"/>
  <c r="F163" i="84"/>
  <c r="N46" i="73" s="1"/>
  <c r="I46" i="73"/>
  <c r="D139" i="91"/>
  <c r="E163" i="84" s="1"/>
  <c r="L55" i="73" l="1"/>
  <c r="J16" i="73"/>
  <c r="L16" i="73" s="1"/>
  <c r="J15" i="73"/>
  <c r="L15" i="73" s="1"/>
  <c r="L45" i="73"/>
  <c r="I56" i="73"/>
  <c r="I45" i="73"/>
  <c r="N56" i="73"/>
  <c r="N55" i="73" s="1"/>
  <c r="N16" i="73" s="1"/>
  <c r="N45" i="73"/>
  <c r="N15" i="73" s="1"/>
  <c r="K46" i="73"/>
  <c r="K56" i="73" s="1"/>
  <c r="M46" i="73" l="1"/>
  <c r="M56" i="73" s="1"/>
  <c r="M55" i="73" s="1"/>
  <c r="M16" i="73" s="1"/>
  <c r="G163" i="84"/>
  <c r="K45" i="73"/>
  <c r="I15" i="73"/>
  <c r="K15" i="73" s="1"/>
  <c r="I55" i="73"/>
  <c r="M45" i="73" l="1"/>
  <c r="M15" i="73" s="1"/>
  <c r="K55" i="73"/>
  <c r="I16" i="73"/>
  <c r="K16" i="73" s="1"/>
  <c r="AJ7"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B13" authorId="0" shapeId="0" xr:uid="{C7DBDB92-63CC-4BF6-88B0-9B9AB335B51E}">
      <text>
        <r>
          <rPr>
            <b/>
            <sz val="12"/>
            <color indexed="81"/>
            <rFont val="Tahoma"/>
            <family val="2"/>
          </rPr>
          <t xml:space="preserve"> Exemplo: </t>
        </r>
        <r>
          <rPr>
            <sz val="12"/>
            <color indexed="81"/>
            <rFont val="Tahoma"/>
            <family val="2"/>
          </rPr>
          <t>Substituição de autocarros a gasóleo por autocarros idênticos mas elétricos (com menor factor de emissão por veículo-quilómetro).</t>
        </r>
      </text>
    </comment>
    <comment ref="B18" authorId="0" shapeId="0" xr:uid="{6F363698-6533-4B39-959D-918E0E123A01}">
      <text>
        <r>
          <rPr>
            <b/>
            <sz val="12"/>
            <color indexed="81"/>
            <rFont val="Tahoma"/>
            <family val="2"/>
          </rPr>
          <t xml:space="preserve">Exemplo: </t>
        </r>
        <r>
          <rPr>
            <sz val="12"/>
            <color indexed="81"/>
            <rFont val="Tahoma"/>
            <family val="2"/>
          </rPr>
          <t xml:space="preserve">Transição do autocarro para a bicicleta elétrica partilhada para efeitos de deslocação associada a movimentos pendulares.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tc={0EF9A538-2EA2-4B8E-8958-8BB1D19CACB5}</author>
    <author>Ana Rita Sampaio</author>
  </authors>
  <commentList>
    <comment ref="B26" authorId="0" shapeId="0" xr:uid="{0EF9A538-2EA2-4B8E-8958-8BB1D19CACB5}">
      <text>
        <t>[Threaded comment]
Your version of Excel allows you to read this threaded comment; however, any edits to it will get removed if the file is opened in a newer version of Excel. Learn more: https://go.microsoft.com/fwlink/?linkid=870924
Comment:
    De acordo com os dados do INE: nr de veiculos? Fração de energia consumida?</t>
      </text>
    </comment>
    <comment ref="G37" authorId="1" shapeId="0" xr:uid="{21911539-566B-45B7-A295-7C200864D82B}">
      <text>
        <r>
          <rPr>
            <b/>
            <sz val="9"/>
            <color indexed="81"/>
            <rFont val="Tahoma"/>
            <family val="2"/>
          </rPr>
          <t>CP elétrico</t>
        </r>
      </text>
    </comment>
    <comment ref="B44" authorId="1" shapeId="0" xr:uid="{7D1BD867-D6BF-4D3C-8596-6A8DD8961A83}">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50" authorId="1" shapeId="0" xr:uid="{CB3A94A7-BBE3-41F3-84FA-D09FFF24A0DA}">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56" authorId="1" shapeId="0" xr:uid="{3CC44535-06CB-4B60-A6C1-340906E311FB}">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79" authorId="1" shapeId="0" xr:uid="{7972675E-B842-496A-AF96-70CAD731C6E4}">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D43" authorId="0" shapeId="0" xr:uid="{1D7BA282-B0E5-4A15-8949-5C4168616EAD}">
      <text>
        <r>
          <rPr>
            <sz val="10"/>
            <color indexed="81"/>
            <rFont val="Tahoma"/>
            <family val="2"/>
          </rPr>
          <t>NUTS 2024: 
AML corresponde à NUT II  e NUT III Grande Lisboa e Peninsula de Setúbal.</t>
        </r>
      </text>
    </comment>
    <comment ref="D44" authorId="0" shapeId="0" xr:uid="{512BF3B0-86F7-4D7B-9D25-4797E71BD5AD}">
      <text>
        <r>
          <rPr>
            <sz val="10"/>
            <color indexed="81"/>
            <rFont val="Tahoma"/>
            <family val="2"/>
          </rPr>
          <t>NUTS 2024: 
AML corresponde à NUT II  e NUT III Grande Lisboa e Peninsula de Setúbal.</t>
        </r>
      </text>
    </comment>
    <comment ref="C47" authorId="0" shapeId="0" xr:uid="{61905153-F0A2-4850-9EF3-89AEFC596A7E}">
      <text>
        <r>
          <rPr>
            <sz val="10"/>
            <color indexed="81"/>
            <rFont val="Tahoma"/>
            <family val="2"/>
          </rPr>
          <t>Exemplos: iluminação urbana; unidades de ar condicionado.</t>
        </r>
      </text>
    </comment>
    <comment ref="E141" authorId="0" shapeId="0" xr:uid="{89B331B8-CD99-4697-ABC0-FAD4F3CFEADD}">
      <text>
        <r>
          <rPr>
            <sz val="10"/>
            <color indexed="81"/>
            <rFont val="Tahoma"/>
            <family val="2"/>
          </rPr>
          <t>Sem emissões de GEE da produção do transporte</t>
        </r>
      </text>
    </comment>
    <comment ref="F141" authorId="0" shapeId="0" xr:uid="{70DF4CA1-76C1-4F21-9F5C-6DA68110E021}">
      <text>
        <r>
          <rPr>
            <sz val="10"/>
            <color indexed="81"/>
            <rFont val="Tahoma"/>
            <family val="2"/>
          </rPr>
          <t>Com emissões de GEE da produção do transporte</t>
        </r>
      </text>
    </comment>
    <comment ref="C142" authorId="0" shapeId="0" xr:uid="{D8B08CB4-3F8F-456C-8DA0-97EA9771AC76}">
      <text>
        <r>
          <rPr>
            <b/>
            <sz val="11"/>
            <color indexed="81"/>
            <rFont val="Tahoma"/>
            <family val="2"/>
          </rPr>
          <t>Interpretação de resultados (emissões relativas = Re= Ab-Be):</t>
        </r>
        <r>
          <rPr>
            <sz val="11"/>
            <color indexed="81"/>
            <rFont val="Tahoma"/>
            <family val="2"/>
          </rPr>
          <t xml:space="preserv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45" authorId="0" shapeId="0" xr:uid="{F7379660-D270-4A88-A95A-E3E30E9A30B8}">
      <text>
        <r>
          <rPr>
            <b/>
            <sz val="11"/>
            <color indexed="81"/>
            <rFont val="Tahoma"/>
            <family val="2"/>
          </rPr>
          <t>Interpretação dos resultados (emissões evitadas = - Re= Be- Ab)</t>
        </r>
        <r>
          <rPr>
            <sz val="11"/>
            <color indexed="81"/>
            <rFont val="Tahoma"/>
            <family val="2"/>
          </rPr>
          <t xml:space="preserve">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tc={1BF180F8-CE75-48F7-BF69-6A474BA33191}</author>
    <author>Ana Rita Sampaio</author>
  </authors>
  <commentList>
    <comment ref="B42" authorId="0" shapeId="0" xr:uid="{1BF180F8-CE75-48F7-BF69-6A474BA33191}">
      <text>
        <t>[Threaded comment]
Your version of Excel allows you to read this threaded comment; however, any edits to it will get removed if the file is opened in a newer version of Excel. Learn more: https://go.microsoft.com/fwlink/?linkid=870924
Comment:
    De acordo com os dados do INE: nr de veiculos? Fração de energia consumida?</t>
      </text>
    </comment>
    <comment ref="G52" authorId="1" shapeId="0" xr:uid="{96EB010C-6D42-44F9-999D-3C5884A05F38}">
      <text>
        <r>
          <rPr>
            <b/>
            <sz val="9"/>
            <color indexed="81"/>
            <rFont val="Tahoma"/>
            <charset val="1"/>
          </rPr>
          <t xml:space="preserve">combustão
</t>
        </r>
      </text>
    </comment>
    <comment ref="G53" authorId="1" shapeId="0" xr:uid="{DE9D30ED-E287-4642-9C42-D53E1EDC188D}">
      <text>
        <r>
          <rPr>
            <b/>
            <sz val="9"/>
            <color indexed="81"/>
            <rFont val="Tahoma"/>
            <family val="2"/>
          </rPr>
          <t>CP elétrico</t>
        </r>
      </text>
    </comment>
    <comment ref="B71" authorId="1" shapeId="0" xr:uid="{51254947-A9C4-4F9A-AEA1-DE64A8A11322}">
      <text>
        <r>
          <rPr>
            <sz val="9"/>
            <color indexed="81"/>
            <rFont val="Tahoma"/>
            <family val="2"/>
          </rPr>
          <t>Proporções retiradas de INE, 2023- estatisticas do transporte
Gasóleo-84%
Gas Natural- 16%</t>
        </r>
      </text>
    </comment>
    <comment ref="B82" authorId="1" shapeId="0" xr:uid="{12954B57-901D-4D78-AA59-895218133157}">
      <text>
        <r>
          <rPr>
            <sz val="9"/>
            <color indexed="81"/>
            <rFont val="Tahoma"/>
            <family val="2"/>
          </rPr>
          <t>Proporções retiradas de INE, 2023- estatisticas do transporte
Gasóleo-84%
Gas Natural- 16%</t>
        </r>
      </text>
    </comment>
    <comment ref="B92" authorId="1" shapeId="0" xr:uid="{4C63F218-AED9-4A04-9DC3-DC159D74188C}">
      <text>
        <r>
          <rPr>
            <sz val="9"/>
            <color indexed="81"/>
            <rFont val="Tahoma"/>
            <family val="2"/>
          </rPr>
          <t>Proporções retiradas de INE, 2023- estatisticas do transporte
Gasóleo-84%
Gas Natural- 16%</t>
        </r>
      </text>
    </comment>
    <comment ref="B129" authorId="1" shapeId="0" xr:uid="{245A53AB-5BE2-48F0-838D-AFF1663AE049}">
      <text>
        <r>
          <rPr>
            <sz val="9"/>
            <color indexed="81"/>
            <rFont val="Tahoma"/>
            <family val="2"/>
          </rPr>
          <t>Proporções retiradas de INE, 2023- estatisticas do transporte
Gasóleo-84%
Gas Natural- 16%</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I13" authorId="0" shapeId="0" xr:uid="{62C7491D-50A8-43CA-8FF7-9058A2E9CA55}">
      <text>
        <r>
          <rPr>
            <b/>
            <sz val="12"/>
            <color indexed="81"/>
            <rFont val="Tahoma"/>
            <family val="2"/>
          </rPr>
          <t xml:space="preserve">Interpretação de resultados (emissões relativas = Re= Ab-Be):
</t>
        </r>
        <r>
          <rPr>
            <sz val="12"/>
            <color indexed="81"/>
            <rFont val="Tahoma"/>
            <family val="2"/>
          </rPr>
          <t>(A)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I25" authorId="0" shapeId="0" xr:uid="{5C085221-96CD-45E9-8B4B-9B18B99D7EBC}">
      <text>
        <r>
          <rPr>
            <b/>
            <sz val="12"/>
            <color indexed="81"/>
            <rFont val="Tahoma"/>
            <family val="2"/>
          </rPr>
          <t xml:space="preserve">Interpretação de resultados (emissões relativas = Re= Ab-Be):
</t>
        </r>
        <r>
          <rPr>
            <sz val="12"/>
            <color indexed="81"/>
            <rFont val="Tahoma"/>
            <family val="2"/>
          </rPr>
          <t>(A)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I43" authorId="0" shapeId="0" xr:uid="{1F2600A2-A833-4B08-9725-7D1BC27A3E2C}">
      <text>
        <r>
          <rPr>
            <b/>
            <sz val="12"/>
            <color indexed="81"/>
            <rFont val="Tahoma"/>
            <family val="2"/>
          </rPr>
          <t xml:space="preserve">Interpretação de resultados (emissões relativas = Re= Ab-Be):
</t>
        </r>
        <r>
          <rPr>
            <sz val="12"/>
            <color indexed="81"/>
            <rFont val="Tahoma"/>
            <family val="2"/>
          </rPr>
          <t>(A)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I53" authorId="0" shapeId="0" xr:uid="{9609068B-9330-4391-AE94-9067C4729605}">
      <text>
        <r>
          <rPr>
            <b/>
            <sz val="12"/>
            <color indexed="81"/>
            <rFont val="Tahoma"/>
            <family val="2"/>
          </rPr>
          <t xml:space="preserve">Interpretação de resultados (emissões relativas = Re= Ab-Be):
</t>
        </r>
        <r>
          <rPr>
            <sz val="12"/>
            <color indexed="81"/>
            <rFont val="Tahoma"/>
            <family val="2"/>
          </rPr>
          <t>(A)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C6" authorId="0" shapeId="0" xr:uid="{F300AEF3-53E6-4AAC-BB4A-AE00E89F1B88}">
      <text>
        <r>
          <rPr>
            <sz val="14"/>
            <color indexed="81"/>
            <rFont val="Tahoma"/>
            <family val="2"/>
          </rPr>
          <t>Os fatores de emissão da tipologia de transporte e NEGRITO  foram utilizados na calculadora como padrão.</t>
        </r>
      </text>
    </comment>
    <comment ref="E6" authorId="0" shapeId="0" xr:uid="{F88B8BBB-C304-45D3-B31F-C9DDB9A44E97}">
      <text>
        <r>
          <rPr>
            <sz val="10"/>
            <color indexed="81"/>
            <rFont val="Tahoma"/>
            <family val="2"/>
          </rPr>
          <t xml:space="preserve">A </t>
        </r>
        <r>
          <rPr>
            <b/>
            <sz val="10"/>
            <color indexed="81"/>
            <rFont val="Tahoma"/>
            <family val="2"/>
          </rPr>
          <t>NEGRITO</t>
        </r>
        <r>
          <rPr>
            <sz val="10"/>
            <color indexed="81"/>
            <rFont val="Tahoma"/>
            <family val="2"/>
          </rPr>
          <t xml:space="preserve"> os fatores de emissão padrão</t>
        </r>
      </text>
    </comment>
    <comment ref="G6" authorId="0" shapeId="0" xr:uid="{2DBB22C1-BF3C-433D-BEB1-805198D1AEA5}">
      <text>
        <r>
          <rPr>
            <sz val="10"/>
            <color indexed="81"/>
            <rFont val="Tahoma"/>
            <family val="2"/>
          </rPr>
          <t xml:space="preserve">A </t>
        </r>
        <r>
          <rPr>
            <b/>
            <sz val="10"/>
            <color indexed="81"/>
            <rFont val="Tahoma"/>
            <family val="2"/>
          </rPr>
          <t>NEGRITO</t>
        </r>
        <r>
          <rPr>
            <sz val="10"/>
            <color indexed="81"/>
            <rFont val="Tahoma"/>
            <family val="2"/>
          </rPr>
          <t xml:space="preserve"> os fatores de emissão padrão</t>
        </r>
      </text>
    </comment>
    <comment ref="F9" authorId="0" shapeId="0" xr:uid="{75FF91BB-BF44-4C55-8058-8507B528878E}">
      <text>
        <r>
          <rPr>
            <sz val="9"/>
            <color indexed="81"/>
            <rFont val="Tahoma"/>
            <family val="2"/>
          </rPr>
          <t>Estimativa Equipa IST basedado nos FE DEFRA 2025. https://www.gov.uk/government/publications/greenhouse-gas-reporting-conversion-factors-2025
FE DEFRA 2025 (eletricity)= 0,17700 kg CO2e/kWh 
FE DEFRA 2025 (average car- batery)=0,03613 kg CO2e/km
Ocupação média (INE,2017)- 1,6 pessoas em Lisboa e Porto</t>
        </r>
      </text>
    </comment>
    <comment ref="G9" authorId="0" shapeId="0" xr:uid="{F5CD4B58-28ED-4B1F-8DB7-7CE6E01E9860}">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carro- 42,8 g CO2eq/ v.km
Produção da bateria- 58,8 g CO2eq/ v.km
Substituição da bateria- 37,8 g CO2eq/ v.km
</t>
        </r>
      </text>
    </comment>
    <comment ref="F10" authorId="0" shapeId="0" xr:uid="{CE28574D-DC27-4531-9BDC-612F9672B3F6}">
      <text>
        <r>
          <rPr>
            <sz val="9"/>
            <color indexed="81"/>
            <rFont val="Tahoma"/>
            <family val="2"/>
          </rPr>
          <t>Estimativa Equipa IST basedado nos FE DEFRA 2025. https://www.gov.uk/government/publications/greenhouse-gas-reporting-conversion-factors-2025
FE DEFRA 2025 (electricity)= 0,17700 kg CO2e/kWh  
FE DEFRA 2025 (PhugIn average car) = 0,01171  CO2ekm
Ocupação média (INE, 2017)= 1,6 pessoas em Lisboa e Porto</t>
        </r>
      </text>
    </comment>
    <comment ref="G10" authorId="0" shapeId="0" xr:uid="{68928DB1-CE4E-424D-AD3A-D92129C6E63C}">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carro- 57,2 g CO2eq/ v.km
Produção da bateria- 16,3 g CO2eq/ v.km
</t>
        </r>
      </text>
    </comment>
    <comment ref="E11" authorId="0" shapeId="0" xr:uid="{BDF5FC97-D280-4EB9-BEC1-BCE8B980C953}">
      <text>
        <r>
          <rPr>
            <sz val="9"/>
            <color indexed="81"/>
            <rFont val="Tahoma"/>
            <family val="2"/>
          </rPr>
          <t>FE Electricidade EU2023= 0,207 kgCO2e/ kWh. FE Trotineta (EU)= 0,006 kgCO2/p.km
FE Trotineta=  0,02898 kWh/p.km</t>
        </r>
      </text>
    </comment>
    <comment ref="F11" authorId="0" shapeId="0" xr:uid="{7022782C-E501-4CD3-9942-BFE55CF78CC7}">
      <text>
        <r>
          <rPr>
            <sz val="9"/>
            <color indexed="81"/>
            <rFont val="Tahoma"/>
            <family val="2"/>
          </rPr>
          <t>FE Electricidade EU2023= 0,207 kgCO2e/ kWh. FE Trotineta (EU)= 0,006 kgCO2/p.km
FE Trotineta=  0,02898 kWh/p.km</t>
        </r>
      </text>
    </comment>
    <comment ref="G11" authorId="0" shapeId="0" xr:uid="{3B0682F0-FFC1-4FDE-8F2C-0245C43778BE}">
      <text>
        <r>
          <rPr>
            <sz val="9"/>
            <color indexed="81"/>
            <rFont val="Tahoma"/>
            <family val="2"/>
          </rPr>
          <t xml:space="preserve">Estimativa Equipa IST baseada no estudo Reis, A. (2020). Assessment of environmental impacts of electric scooter through life cycle analysis. IST, Universidade de Lisboa. 76% das emissões totais referem-se à fase de produção.
</t>
        </r>
      </text>
    </comment>
    <comment ref="F12" authorId="0" shapeId="0" xr:uid="{AB738B5F-9FC2-49C7-B5AF-BF55BDB47354}">
      <text>
        <r>
          <rPr>
            <sz val="9"/>
            <color indexed="81"/>
            <rFont val="Tahoma"/>
            <family val="2"/>
          </rPr>
          <t>FE Electricidade EU2023= 0,207 kgCO2e/ kWh. FE Trotineta (EU)= 0,006 kgCO2/p.km
FE Trotineta=  0,02898 kWh/p.km</t>
        </r>
      </text>
    </comment>
    <comment ref="G12" authorId="0" shapeId="0" xr:uid="{A5AD059D-D3F2-4289-8D78-5A709BC59062}">
      <text>
        <r>
          <rPr>
            <sz val="9"/>
            <color indexed="81"/>
            <rFont val="Tahoma"/>
            <family val="2"/>
          </rPr>
          <t>Emissões de produção do veículo= 26g/pkm
Estudo OCDE (2024)</t>
        </r>
      </text>
    </comment>
    <comment ref="E13" authorId="0" shapeId="0" xr:uid="{18C57D1E-4D54-4663-A0BB-BF3EA7CBCEC8}">
      <text>
        <r>
          <rPr>
            <sz val="9"/>
            <color indexed="81"/>
            <rFont val="Tahoma"/>
            <family val="2"/>
          </rPr>
          <t>Estimativa Equipa IST baseado nas especificações do modelo Gogoro S2. Power output- 7 KW  Range- 170 km. FE de electricidade nacional. Fonte: https://www.gogoro.com/smartscooter/2-series/</t>
        </r>
      </text>
    </comment>
    <comment ref="F13" authorId="0" shapeId="0" xr:uid="{445E06A3-ABB0-476E-8F2A-86BFAEA5F6D3}">
      <text>
        <r>
          <rPr>
            <sz val="9"/>
            <color indexed="81"/>
            <rFont val="Tahoma"/>
            <family val="2"/>
          </rPr>
          <t>Estimativa Equipa IST baseado nas especificações do modelo Gogoro S2. Power output- 7 KW  Range- 170 km. FE de electricidade nacional. Fonte: https://www.gogoro.com/smartscooter/2-series/
Assume-se ocupação de 1 pessoa.</t>
        </r>
      </text>
    </comment>
    <comment ref="G13" authorId="0" shapeId="0" xr:uid="{68BB24E9-F384-4FDC-9D09-B272A3AB56F9}">
      <text>
        <r>
          <rPr>
            <sz val="9"/>
            <color indexed="81"/>
            <rFont val="Tahoma"/>
            <family val="2"/>
          </rPr>
          <t>Estimativa Equipa IST baseado no estudo Schneider, F. (2023).Comparative Life Cycle Assessment (LCA) on battery electric and combustion engine motorcycles in Taiwan. https://www.sciencedirect.com/science/article/abs/pii/S0959652623012180                                                                                                                      Valor para uma utilização de 45 368 km. Inclui emissões da fase de produção e reciclagem no fim de vida do veículo, Assume-se ocupação com 1 pessoa.</t>
        </r>
      </text>
    </comment>
    <comment ref="E14" authorId="0" shapeId="0" xr:uid="{2AD1FCF6-C5E5-4193-9EA2-C991FE485447}">
      <text>
        <r>
          <rPr>
            <sz val="9"/>
            <color indexed="81"/>
            <rFont val="Tahoma"/>
            <family val="2"/>
          </rPr>
          <t>FE Electricidade EU2023= 0,207 kgCO2e/ kWh. E-bike (EU)= 0,011 kgCO2/p.km
FE= 0,0531 kwh/p.km</t>
        </r>
      </text>
    </comment>
    <comment ref="F14" authorId="0" shapeId="0" xr:uid="{00E3EE24-5D58-42CB-A35D-F2238E8C8EC1}">
      <text>
        <r>
          <rPr>
            <sz val="9"/>
            <color indexed="81"/>
            <rFont val="Tahoma"/>
            <family val="2"/>
          </rPr>
          <t>FE Electricidade EU2023= 0,207 kgCO2e/ kWh. E-bike (EU)= 0,011 kgCO2e/p.km
FE= 0,0531 kwh/p.km</t>
        </r>
      </text>
    </comment>
    <comment ref="G14" authorId="0" shapeId="0" xr:uid="{D8346318-2089-45CD-B21B-46C87AB5A5F0}">
      <text>
        <r>
          <rPr>
            <sz val="9"/>
            <color indexed="81"/>
            <rFont val="Tahoma"/>
            <family val="2"/>
          </rPr>
          <t xml:space="preserve"> International  Transport Forum- BoardCPBGood to Go? Assessing the Environmental Performance of New Mobility:
emissões=  37 g/vkm.
GOOD TO GO? ASSESSING THE ENVIRONMENTAL PERFORMANCE OF NEW MOBILITY © OECD/ITF 2020
https://www.itf-oecd.org/good-to-go-environmental-performance-new-mobility</t>
        </r>
      </text>
    </comment>
    <comment ref="F15" authorId="0" shapeId="0" xr:uid="{3A57BFE8-6B4B-45C0-A1FF-D81F3CFBED9A}">
      <text>
        <r>
          <rPr>
            <sz val="9"/>
            <color indexed="81"/>
            <rFont val="Tahoma"/>
            <family val="2"/>
          </rPr>
          <t xml:space="preserve">Fonte: https://caetanobus.pt/en/new-eneration-zero-emission-buses/?produto=new-generation-zero-emission-buses
Bateria de litio: 281,9 kWh
Autonomia: 400 km
</t>
        </r>
      </text>
    </comment>
    <comment ref="G15" authorId="0" shapeId="0" xr:uid="{BCC0152B-2462-48F0-BFEC-BB01E5009394}">
      <text>
        <r>
          <rPr>
            <sz val="9"/>
            <color indexed="81"/>
            <rFont val="Tahoma"/>
            <family val="2"/>
          </rPr>
          <t xml:space="preserve"> International  Transport Forum- BoardCPBGood to Go? Assessing the Environmental Performance of New Mobility:
emissões=  210 g/vkm.
https://www.itf-oecd.org/good-to-go-environmental-performance-new-mobility</t>
        </r>
      </text>
    </comment>
    <comment ref="F20" authorId="0" shapeId="0" xr:uid="{75FB5633-4CA0-484D-B388-3EC990A02949}">
      <text>
        <r>
          <rPr>
            <sz val="9"/>
            <color indexed="81"/>
            <rFont val="Tahoma"/>
            <family val="2"/>
          </rPr>
          <t xml:space="preserve"> International  Transport Forum- BoardCPBGood to Go? Assessing the Environmental Performance of New Mobility:
consumo=  1,37 kWh/vkm.
GOOD TO GO? ASSESSING THE ENVIRONMENTAL PERFORMANCE OF NEW MOBILITY © OECD/ITF 2020
https://www.itf-oecd.org/good-to-go-environmental-performance-new-mobility</t>
        </r>
      </text>
    </comment>
    <comment ref="G20" authorId="0" shapeId="0" xr:uid="{42CDF862-63CC-4B12-81B6-EB1AF9392512}">
      <text>
        <r>
          <rPr>
            <sz val="9"/>
            <color indexed="81"/>
            <rFont val="Tahoma"/>
            <family val="2"/>
          </rPr>
          <t xml:space="preserve"> International  Transport Forum- BoardCPBGood to Go? Assessing the Environmental Performance of New Mobility:
emissões=  210 g/vkm.
GOOD TO GO? ASSESSING THE ENVIRONMENTAL PERFORMANCE OF NEW MOBILITY © OECD/ITF 2020
https://www.itf-oecd.org/good-to-go-environmental-performance-new-mobility</t>
        </r>
      </text>
    </comment>
    <comment ref="G22" authorId="0" shapeId="0" xr:uid="{85B616D7-3BC7-4CBE-B227-920E19A11099}">
      <text>
        <r>
          <rPr>
            <sz val="9"/>
            <color indexed="81"/>
            <rFont val="Tahoma"/>
            <family val="2"/>
          </rPr>
          <t xml:space="preserve"> International  Transport Forum- BoardCPBGood to Go? Assessing the Environmental Performance of New Mobility:
emissões=  219 g/vkm.
GOOD TO GO? ASSESSING THE ENVIRONMENTAL PERFORMANCE OF NEW MOBILITY © OECD/ITF 2020
https://www.itf-oecd.org/good-to-go-environmental-performance-new-mobility</t>
        </r>
      </text>
    </comment>
    <comment ref="F25" authorId="0" shapeId="0" xr:uid="{A2F4ADA1-CD9F-4370-B064-8F1157F9FBE4}">
      <text>
        <r>
          <rPr>
            <sz val="9"/>
            <color indexed="81"/>
            <rFont val="Tahoma"/>
            <family val="2"/>
          </rPr>
          <t>Fonte: https://caetanobus.pt/en/new-eneration-zero-emission-buses/?produto=new-generation-zero-emission-buses
Bateria de litio: 100 kWh
Autonomia: 600  km</t>
        </r>
      </text>
    </comment>
    <comment ref="G25" authorId="0" shapeId="0" xr:uid="{5FC776E3-9DC0-4AA4-B43C-F26214AB21E2}">
      <text>
        <r>
          <rPr>
            <sz val="9"/>
            <color indexed="81"/>
            <rFont val="Tahoma"/>
            <family val="2"/>
          </rPr>
          <t xml:space="preserve"> International  Transport Forum- BoardCPBGood to Go? Assessing the Environmental Performance of New Mobility:
emissões=  169 g/vkm.
GOOD TO GO? ASSESSING THE ENVIRONMENTAL PERFORMANCE OF NEW MOBILITY © OECD/ITF 2020
https://www.itf-oecd.org/good-to-go-environmental-performance-new-mobility</t>
        </r>
      </text>
    </comment>
    <comment ref="G27" authorId="0" shapeId="0" xr:uid="{7C09AFCB-F708-4781-914A-B40AC52339AB}">
      <text>
        <r>
          <rPr>
            <sz val="9"/>
            <color indexed="81"/>
            <rFont val="Tahoma"/>
            <family val="2"/>
          </rPr>
          <t xml:space="preserve"> International  Transport Forum- BoardCPBGood to Go? Assessing the Environmental Performance of New Mobility:
emissões=  219 g/vkm.
GOOD TO GO? ASSESSING THE ENVIRONMENTAL PERFORMANCE OF NEW MOBILITY © OECD/ITF 2020
https://www.itf-oecd.org/good-to-go-environmental-performance-new-mobility</t>
        </r>
      </text>
    </comment>
    <comment ref="F30" authorId="0" shapeId="0" xr:uid="{2FACC23F-3FFF-48CB-B965-6F90DDC5B6EA}">
      <text>
        <r>
          <rPr>
            <sz val="9"/>
            <color indexed="81"/>
            <rFont val="Tahoma"/>
            <family val="2"/>
          </rPr>
          <t xml:space="preserve">Fonte:
https://caetanobus.pt/en/new-eneration-zero-emission-buses/?produto=new-generation-zero-emission-buses
123 passageiros
Bateria de litio= 621kWh
Autonomia= 450km
</t>
        </r>
      </text>
    </comment>
    <comment ref="G30" authorId="0" shapeId="0" xr:uid="{C8B198D2-4C1E-459D-A441-7394921A8EBD}">
      <text>
        <r>
          <rPr>
            <sz val="9"/>
            <color indexed="81"/>
            <rFont val="Tahoma"/>
            <family val="2"/>
          </rPr>
          <t xml:space="preserve"> International  Transport Forum- BoardCPBGood to Go? Assessing the Environmental Performance of New Mobility:
emissões=  261 g/vkm.
GOOD TO GO? ASSESSING THE ENVIRONMENTAL PERFORMANCE OF NEW MOBILITY © OECD/ITF 2020
https://www.itf-oecd.org/good-to-go-environmental-performance-new-mobility</t>
        </r>
      </text>
    </comment>
    <comment ref="F35" authorId="0" shapeId="0" xr:uid="{94711C20-E04D-4F2C-B219-D0F4EC4F047D}">
      <text>
        <r>
          <rPr>
            <sz val="9"/>
            <color indexed="81"/>
            <rFont val="Tahoma"/>
            <family val="2"/>
          </rPr>
          <t xml:space="preserve">Fonte:
https://caetanobus.pt/en/new-eneration-zero-emission-buses/?produto=new-generation-zero-emission-buses
130 passageiros
Bateria de litio= 176 kWh
Autonomia= 500 km
</t>
        </r>
      </text>
    </comment>
    <comment ref="G35" authorId="0" shapeId="0" xr:uid="{69590B5F-71A1-4795-9A01-6720BC3A82E6}">
      <text>
        <r>
          <rPr>
            <sz val="9"/>
            <color indexed="81"/>
            <rFont val="Tahoma"/>
            <family val="2"/>
          </rPr>
          <t xml:space="preserve"> International  Transport Forum- BoardCPBGood to Go? Assessing the Environmental Performance of New Mobility:
emissões=  169 g/vkm.
GOOD TO GO? ASSESSING THE ENVIRONMENTAL PERFORMANCE OF NEW MOBILITY © OECD/ITF 2020
https://www.itf-oecd.org/good-to-go-environmental-performance-new-mobility</t>
        </r>
      </text>
    </comment>
    <comment ref="F40" authorId="0" shapeId="0" xr:uid="{9D9D421C-7EFD-47DD-A9D4-D59CFF0C7447}">
      <text>
        <r>
          <rPr>
            <sz val="9"/>
            <color indexed="81"/>
            <rFont val="Tahoma"/>
            <family val="2"/>
          </rPr>
          <t>Taxa ocupação (2023): 27,96%
Fonte:Relatório de Gestão &amp; Contas 2023 (https://ttsl.pt/wp-content/uploads/2025/05/TTSL_Relatorio-Gestao-e-Contas_2023.pdf)</t>
        </r>
      </text>
    </comment>
    <comment ref="G40" authorId="0" shapeId="0" xr:uid="{1104D0DB-C3AD-482C-B513-3B1475F2CCCE}">
      <text>
        <r>
          <rPr>
            <sz val="9"/>
            <color indexed="81"/>
            <rFont val="Tahoma"/>
            <family val="2"/>
          </rPr>
          <t xml:space="preserve">Nordtveit, E. (2017 ).Life Cycle Assessment of a Battery Passenger Ferry. University of Agder.
https://core.ac.uk/download/pdf/225894657.pdf
Emissões:
bateria- 14,3 g/p.km
navio- 7,4 g/p.km
valores de emissões para um navio com 26 metros e capacidade para 125 passageiros.
</t>
        </r>
      </text>
    </comment>
    <comment ref="G44" authorId="0" shapeId="0" xr:uid="{741C64CF-4DA0-42B4-9F3E-4A503325A848}">
      <text>
        <r>
          <rPr>
            <sz val="9"/>
            <color indexed="81"/>
            <rFont val="Tahoma"/>
            <family val="2"/>
          </rPr>
          <t>Comparative lifecycle cost and sustainability assessments between very-light rail and bus-rapid transit (https://www.sciencedirect.com/science/article/pii/S2590198225002088)
Valor (manufacturing Very light train)- 41,847 ton CO2e
Pressuposto- km ciclo de vida  igual a BRT- 50 000 km.</t>
        </r>
      </text>
    </comment>
    <comment ref="G47" authorId="0" shapeId="0" xr:uid="{6694F2B1-C122-4FBA-AB0A-27E9EC49F7EF}">
      <text>
        <r>
          <rPr>
            <sz val="9"/>
            <color indexed="81"/>
            <rFont val="Tahoma"/>
            <family val="2"/>
          </rPr>
          <t xml:space="preserve"> International  Transport Forum- BoardCPBGood to Go? Assessing the Environmental Performance of New Mobility:
emissões=  2 g/pkm.
https://www.itf-oecd.org/good-to-go-environmental-performance-new-mobility
</t>
        </r>
      </text>
    </comment>
    <comment ref="G48" authorId="0" shapeId="0" xr:uid="{24CB0565-6EC5-47D4-A2DA-16D2F2303E30}">
      <text>
        <r>
          <rPr>
            <sz val="9"/>
            <color indexed="81"/>
            <rFont val="Tahoma"/>
            <family val="2"/>
          </rPr>
          <t xml:space="preserve"> International  Transport Forum- BoardCPBGood to Go? Assessing the Environmental Performance of New Mobility:
emissões=  2 g/pkm.
https://www.itf-oecd.org/good-to-go-environmental-performance-new-mobility</t>
        </r>
      </text>
    </comment>
    <comment ref="G49" authorId="0" shapeId="0" xr:uid="{CF1363ED-1A66-4294-BCDF-7004A30CA0B4}">
      <text>
        <r>
          <rPr>
            <sz val="9"/>
            <color indexed="81"/>
            <rFont val="Tahoma"/>
            <family val="2"/>
          </rPr>
          <t xml:space="preserve"> International  Transport Forum- BoardCPBGood to Go? Assessing the Environmental Performance of New Mobility:
emissões=  2 g/pkm.
https://www.itf-oecd.org/good-to-go-environmental-performance-new-mobility</t>
        </r>
      </text>
    </comment>
    <comment ref="G50" authorId="0" shapeId="0" xr:uid="{C4359B67-C897-43A7-ADA2-42749A2A7E93}">
      <text>
        <r>
          <rPr>
            <sz val="9"/>
            <color indexed="81"/>
            <rFont val="Tahoma"/>
            <family val="2"/>
          </rPr>
          <t xml:space="preserve"> International  Transport Forum- BoardCPBGood to Go? Assessing the Environmental Performance of New Mobility:
emissões=  2 g/pkm.
https://www.itf-oecd.org/good-to-go-environmental-performance-new-mobility</t>
        </r>
      </text>
    </comment>
    <comment ref="G51" authorId="0" shapeId="0" xr:uid="{DDB78426-1D02-4E75-8D8A-D996187A461A}">
      <text>
        <r>
          <rPr>
            <sz val="9"/>
            <color indexed="81"/>
            <rFont val="Tahoma"/>
            <family val="2"/>
          </rPr>
          <t xml:space="preserve"> International  Transport Forum- BoardCPBGood to Go? Assessing the Environmental Performance of New Mobility:
emissões=  2 g/pkm.
https://www.itf-oecd.org/good-to-go-environmental-performance-new-mobility</t>
        </r>
      </text>
    </comment>
    <comment ref="B53" authorId="0" shapeId="0" xr:uid="{612AB97D-88D1-40B2-9EF4-D549797C4398}">
      <text>
        <r>
          <rPr>
            <sz val="12"/>
            <color indexed="81"/>
            <rFont val="Tahoma"/>
            <family val="2"/>
          </rPr>
          <t>O fator de emissão da tipologia de transporte e NEGRITO foi utilizado na calculadora como padrão.</t>
        </r>
      </text>
    </comment>
    <comment ref="C58" authorId="0" shapeId="0" xr:uid="{CDA8D042-6DDD-497F-A594-35A496F2AC90}">
      <text>
        <r>
          <rPr>
            <sz val="14"/>
            <color indexed="81"/>
            <rFont val="Tahoma"/>
            <family val="2"/>
          </rPr>
          <t>Os fatores de emissão da tipologia de transporte e NEGRITO  foram utilizados na calculadora como padrão.</t>
        </r>
      </text>
    </comment>
    <comment ref="E58" authorId="0" shapeId="0" xr:uid="{5BA318CA-9325-4A98-AB38-53DBBA645A8A}">
      <text>
        <r>
          <rPr>
            <sz val="10"/>
            <color indexed="81"/>
            <rFont val="Tahoma"/>
            <family val="2"/>
          </rPr>
          <t xml:space="preserve">A </t>
        </r>
        <r>
          <rPr>
            <b/>
            <sz val="10"/>
            <color indexed="81"/>
            <rFont val="Tahoma"/>
            <family val="2"/>
          </rPr>
          <t>NEGRITO</t>
        </r>
        <r>
          <rPr>
            <sz val="10"/>
            <color indexed="81"/>
            <rFont val="Tahoma"/>
            <family val="2"/>
          </rPr>
          <t xml:space="preserve"> os fatores de emissão padrão</t>
        </r>
      </text>
    </comment>
    <comment ref="I58" authorId="0" shapeId="0" xr:uid="{1D970F3A-9699-4CBF-8198-59FE23916324}">
      <text>
        <r>
          <rPr>
            <sz val="10"/>
            <color indexed="81"/>
            <rFont val="Tahoma"/>
            <family val="2"/>
          </rPr>
          <t>A</t>
        </r>
        <r>
          <rPr>
            <b/>
            <sz val="10"/>
            <color indexed="81"/>
            <rFont val="Tahoma"/>
            <family val="2"/>
          </rPr>
          <t xml:space="preserve"> NEGRITO</t>
        </r>
        <r>
          <rPr>
            <sz val="10"/>
            <color indexed="81"/>
            <rFont val="Tahoma"/>
            <family val="2"/>
          </rPr>
          <t xml:space="preserve"> os fatores de emissão padrão</t>
        </r>
      </text>
    </comment>
    <comment ref="I60" authorId="0" shapeId="0" xr:uid="{F48A89AF-91D8-4B79-9142-88550178FA51}">
      <text>
        <r>
          <rPr>
            <sz val="9"/>
            <color indexed="81"/>
            <rFont val="Tahoma"/>
            <family val="2"/>
          </rPr>
          <t xml:space="preserve">Nordtveit, E. (2017 ).Life Cycle Assessment of a Battery Passenger Ferry. University of Agder.
https://core.ac.uk/download/pdf/225894657.pdf
Emissões:
barco- 2,59 g/p.km
valores de emissões para um barco com 26 metros e capacidade para 125 pessageiros.
Comprimento barcos TTSL- 40,15 metros
</t>
        </r>
      </text>
    </comment>
    <comment ref="I61" authorId="0" shapeId="0" xr:uid="{160C2916-44AE-4B77-8BDA-B396DB5F6E41}">
      <text>
        <r>
          <rPr>
            <sz val="9"/>
            <color indexed="81"/>
            <rFont val="Tahoma"/>
            <family val="2"/>
          </rPr>
          <t>OCDE and ITF. Life-Cycle Assessment of Passenger Transport: An Indian Case Study.
 https://www.itf-oecd.org/sites/default/files/docs/life-cycle-assessment-passenger-transport-india.pdf
Emissões de produção: 6%
Emissões totais ACV=  15481 gCO2e/ v.km</t>
        </r>
      </text>
    </comment>
    <comment ref="I66" authorId="0" shapeId="0" xr:uid="{748116DF-F145-43CD-AB6D-0E60D94A5855}">
      <text>
        <r>
          <rPr>
            <sz val="9"/>
            <color indexed="81"/>
            <rFont val="Tahoma"/>
            <family val="2"/>
          </rPr>
          <t>OCDE and ITF. Life-Cycle Assessment of Passenger Transport: An Indian Case Study.
 https://www.itf-oecd.org/sites/default/files/docs/life-cycle-assessment-passenger-transport-india.pdf
Emissões de produção: 6%
Emissões totais ACV=  1504 gCO2e/ v.km</t>
        </r>
      </text>
    </comment>
    <comment ref="I71" authorId="0" shapeId="0" xr:uid="{6B8710FE-4AA7-49AC-B645-E0B932840123}">
      <text>
        <r>
          <rPr>
            <sz val="9"/>
            <color indexed="81"/>
            <rFont val="Tahoma"/>
            <family val="2"/>
          </rPr>
          <t>OCDE and ITF. Life-Cycle Assessment of Passenger Transport: An Indian Case Study.
 https://www.itf-oecd.org/sites/default/files/docs/life-cycle-assessment-passenger-transport-india.pdf
Emissões de produção: 6%
Emissões totais ACV=  1051 gCO2e/ v.km</t>
        </r>
      </text>
    </comment>
    <comment ref="I76" authorId="0" shapeId="0" xr:uid="{D4D38A27-BB0C-4950-B5D3-14EC46E7C778}">
      <text>
        <r>
          <rPr>
            <sz val="9"/>
            <color indexed="81"/>
            <rFont val="Tahoma"/>
            <family val="2"/>
          </rPr>
          <t>OCDE and ITF. Life-Cycle Assessment of Passenger Transport: An Indian Case Study.
 https://www.itf-oecd.org/sites/default/files/docs/life-cycle-assessment-passenger-transport-india.pdf
Emissões de produção: 6%
Emissões totais ACV=  1129 gCO2e/ v.km</t>
        </r>
      </text>
    </comment>
    <comment ref="I83" authorId="0" shapeId="0" xr:uid="{50DD66D3-231F-49D9-9D5B-4C3CE9408D80}">
      <text>
        <r>
          <rPr>
            <sz val="9"/>
            <color indexed="81"/>
            <rFont val="Tahoma"/>
            <family val="2"/>
          </rPr>
          <t xml:space="preserve">Machado, C </t>
        </r>
        <r>
          <rPr>
            <i/>
            <sz val="9"/>
            <color indexed="81"/>
            <rFont val="Tahoma"/>
            <family val="2"/>
          </rPr>
          <t>et al.</t>
        </r>
        <r>
          <rPr>
            <sz val="9"/>
            <color indexed="81"/>
            <rFont val="Tahoma"/>
            <family val="2"/>
          </rPr>
          <t>(2023). Estimating CO2 Emissions for Bus Rapid Transit (BRT) Using Life Cycle Assessment: A Case Study in Rio de Janeiro City. Advances in Environmental and Engineering Research
https://www.researchgate.net/publication/367615614_Estimating_CO2_Emissions_for_Bus_Rapid_Transit_BRT_Using_Life_Cycle_Assessment_A_Case_Study_in_Rio_de_Janeiro_City
Manufacturing emissions: 3,65 g CO2/ p.km</t>
        </r>
      </text>
    </comment>
    <comment ref="I88" authorId="0" shapeId="0" xr:uid="{5CEEA4AC-91A0-47D7-905E-CC4AEAB4B874}">
      <text>
        <r>
          <rPr>
            <sz val="9"/>
            <color indexed="81"/>
            <rFont val="Tahoma"/>
            <family val="2"/>
          </rPr>
          <t xml:space="preserve">Machado, C </t>
        </r>
        <r>
          <rPr>
            <i/>
            <sz val="9"/>
            <color indexed="81"/>
            <rFont val="Tahoma"/>
            <family val="2"/>
          </rPr>
          <t>et al.</t>
        </r>
        <r>
          <rPr>
            <sz val="9"/>
            <color indexed="81"/>
            <rFont val="Tahoma"/>
            <family val="2"/>
          </rPr>
          <t>(2023). Estimating CO2 Emissions for Bus Rapid Transit (BRT) Using Life Cycle Assessment: A Case Study in Rio de Janeiro City. Advances in Environmental and Engineering Research
https://www.researchgate.net/publication/367615614_Estimating_CO2_Emissions_for_Bus_Rapid_Transit_BRT_Using_Life_Cycle_Assessment_A_Case_Study_in_Rio_de_Janeiro_City
Manufacturing emissions: 3,65 g CO2/ p.km</t>
        </r>
      </text>
    </comment>
    <comment ref="I91" authorId="0" shapeId="0" xr:uid="{DD73B88D-93E3-492F-BFE6-AEA3266EF8D2}">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carro- 48,9 g CO2eq/ v.km
</t>
        </r>
      </text>
    </comment>
    <comment ref="E92" authorId="0" shapeId="0" xr:uid="{11120DD5-9043-4962-B29B-A0041D927FB7}">
      <text>
        <r>
          <rPr>
            <sz val="9"/>
            <color indexed="81"/>
            <rFont val="Tahoma"/>
            <family val="2"/>
          </rPr>
          <t>Taxa de ocupação 1,6 (INE,2017)</t>
        </r>
      </text>
    </comment>
    <comment ref="I94" authorId="0" shapeId="0" xr:uid="{2F28642F-DD9B-4CE5-9D95-259F083A6B82}">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carro- 48,9 g CO2eq/ v.km
</t>
        </r>
      </text>
    </comment>
    <comment ref="E95" authorId="0" shapeId="0" xr:uid="{2531D111-6139-4EC8-96F2-8009BF6C2D97}">
      <text>
        <r>
          <rPr>
            <sz val="9"/>
            <color indexed="81"/>
            <rFont val="Tahoma"/>
            <family val="2"/>
          </rPr>
          <t>Taxa de ocupação 1,6 (INE,2017)</t>
        </r>
      </text>
    </comment>
    <comment ref="I97" authorId="0" shapeId="0" xr:uid="{329768DC-1B25-4721-8B95-FA8C2D30052F}">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carro- 48,9 g CO2eq/ v.km
</t>
        </r>
      </text>
    </comment>
    <comment ref="E98" authorId="0" shapeId="0" xr:uid="{A2712E40-78DB-4C91-B2B9-E5FE1B8787E6}">
      <text>
        <r>
          <rPr>
            <sz val="9"/>
            <color indexed="81"/>
            <rFont val="Tahoma"/>
            <family val="2"/>
          </rPr>
          <t>Taxa de ocupação 1,6 (INE,2017)</t>
        </r>
      </text>
    </comment>
    <comment ref="I100" authorId="0" shapeId="0" xr:uid="{5900B0DA-B744-4AF2-B2AB-3680EA952A3C}">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carro- 48,9 g CO2eq/ v.km
</t>
        </r>
      </text>
    </comment>
    <comment ref="E101" authorId="0" shapeId="0" xr:uid="{CE9722AE-1681-4F00-B81E-1FBF86900307}">
      <text>
        <r>
          <rPr>
            <sz val="9"/>
            <color indexed="81"/>
            <rFont val="Tahoma"/>
            <family val="2"/>
          </rPr>
          <t>Taxa de ocupação 1,6 (INE,2017)</t>
        </r>
      </text>
    </comment>
    <comment ref="I103" authorId="0" shapeId="0" xr:uid="{5F7549AF-0A9C-4F62-9527-596674CAE4F1}">
      <text>
        <r>
          <rPr>
            <sz val="9"/>
            <color indexed="81"/>
            <rFont val="Tahoma"/>
            <family val="2"/>
          </rPr>
          <t xml:space="preserve">Schneider, F. </t>
        </r>
        <r>
          <rPr>
            <i/>
            <sz val="9"/>
            <color indexed="81"/>
            <rFont val="Tahoma"/>
            <family val="2"/>
          </rPr>
          <t xml:space="preserve">et al. </t>
        </r>
        <r>
          <rPr>
            <sz val="9"/>
            <color indexed="81"/>
            <rFont val="Tahoma"/>
            <family val="2"/>
          </rPr>
          <t>(2023). Comparative Life Cycle Assessment (LCA) on battery electric and combustion engine motorcycles in Taiwan. Journal of Cleaner Production
https://www.sciencedirect.com/science/article/abs/pii/S0959652623012180
Emissóes ACV (produção)= 382 kgCO2e
Pressuposto IST:10000 km/ano</t>
        </r>
      </text>
    </comment>
    <comment ref="I106" authorId="0" shapeId="0" xr:uid="{77C0E6A4-B644-406C-99C8-E72FD3CF918A}">
      <text>
        <r>
          <rPr>
            <sz val="9"/>
            <color indexed="81"/>
            <rFont val="Tahoma"/>
            <family val="2"/>
          </rPr>
          <t xml:space="preserve">Schneider, F. </t>
        </r>
        <r>
          <rPr>
            <i/>
            <sz val="9"/>
            <color indexed="81"/>
            <rFont val="Tahoma"/>
            <family val="2"/>
          </rPr>
          <t xml:space="preserve">et al. </t>
        </r>
        <r>
          <rPr>
            <sz val="9"/>
            <color indexed="81"/>
            <rFont val="Tahoma"/>
            <family val="2"/>
          </rPr>
          <t>(2023). Comparative Life Cycle Assessment (LCA) on battery electric and combustion engine motorcycles in Taiwan. Journal of Cleaner Production
https://www.sciencedirect.com/science/article/abs/pii/S0959652623012180
Emissões ACV (produção)= 382 kgCO2e
Pressuposto IST:10000 km/ano ; 
tempo de vida 2 anos</t>
        </r>
      </text>
    </comment>
    <comment ref="I109" authorId="0" shapeId="0" xr:uid="{92B94C8E-5354-428A-BF75-A7E643F4833C}">
      <text>
        <r>
          <rPr>
            <sz val="9"/>
            <color indexed="81"/>
            <rFont val="Tahoma"/>
            <family val="2"/>
          </rPr>
          <t xml:space="preserve"> International  Transport Forum- BoardCPBGood to Go? Assessing the Environmental Performance of New Mobility:
emissões=  385 g/vkm.
https://www.itf-oecd.org/good-to-go-environmental-performance-new-mobility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C15" authorId="0" shapeId="0" xr:uid="{371147AA-F92D-40CB-AF27-74544A6F009C}">
      <text>
        <r>
          <rPr>
            <sz val="14"/>
            <color indexed="81"/>
            <rFont val="Tahoma"/>
            <family val="2"/>
          </rPr>
          <t xml:space="preserve">As tipologias consideradas para o cálculo das emissões de GEE são:
      - Bicicletas elétricas
      - Motociclos elétricos
      - Trotinetas partilhadas
      - Trotinetas privadas
Para cada tipologia de projeto são considerados os tipos de transporte a adquirir pelo projeto  e o transporte a substituir (i.e. a descontinuar).  </t>
        </r>
        <r>
          <rPr>
            <sz val="9"/>
            <color indexed="81"/>
            <rFont val="Tahoma"/>
            <family val="2"/>
          </rPr>
          <t xml:space="preserve">
</t>
        </r>
      </text>
    </comment>
    <comment ref="H17" authorId="0" shapeId="0" xr:uid="{ABD4E2C4-30B0-45EF-A857-19813BBD41F0}">
      <text>
        <r>
          <rPr>
            <sz val="14"/>
            <color indexed="81"/>
            <rFont val="Tahoma"/>
            <family val="2"/>
          </rPr>
          <t xml:space="preserve">Preenchimento dos campos dos fatores de emissão dos modos de transporte a substituir
         1. Introduzir o fator de emissão de GEE  para os tipos de transporte previstos no
            projeto.
</t>
        </r>
        <r>
          <rPr>
            <b/>
            <sz val="14"/>
            <color indexed="81"/>
            <rFont val="Tahoma"/>
            <family val="2"/>
          </rPr>
          <t xml:space="preserve">          
 Nota 1:</t>
        </r>
        <r>
          <rPr>
            <sz val="14"/>
            <color indexed="81"/>
            <rFont val="Tahoma"/>
            <family val="2"/>
          </rPr>
          <t xml:space="preserve"> Não existem fatores de emissão padrão para o transporte. Contudo, podem ser consultados exemplos de fatores de emissão para o transporte no separador "Fatores de emissão". 
</t>
        </r>
        <r>
          <rPr>
            <b/>
            <sz val="14"/>
            <color indexed="81"/>
            <rFont val="Tahoma"/>
            <family val="2"/>
          </rPr>
          <t xml:space="preserve"> Nota 2:</t>
        </r>
        <r>
          <rPr>
            <sz val="14"/>
            <color indexed="81"/>
            <rFont val="Tahoma"/>
            <family val="2"/>
          </rPr>
          <t xml:space="preserve"> O transporte a adquirir e a substituir pelo projeto (i.e. a descontinuar) devem ter fatores de emissão diferentes.
</t>
        </r>
        <r>
          <rPr>
            <sz val="9"/>
            <color indexed="81"/>
            <rFont val="Tahoma"/>
            <family val="2"/>
          </rPr>
          <t xml:space="preserve">
</t>
        </r>
      </text>
    </comment>
    <comment ref="M17" authorId="0" shapeId="0" xr:uid="{651426FE-3784-459E-9BAD-21B6FF90309A}">
      <text>
        <r>
          <rPr>
            <sz val="14"/>
            <color indexed="81"/>
            <rFont val="Tahoma"/>
            <family val="2"/>
          </rPr>
          <t>Preenchimento dos campos dos fatores de emissão transporte a
adquirir
         1. Introduzir o fator de emissão de GEE  para os tipos de
            transporte previstos no projeto.
 Nota 1: Não existem fatores de emissão padrão para o transporte. Contudo, podem ser consultados exemplos de fatores de emissão para o transporte no separador "Fatores de emissão". 
 Nota 2: O transporte a adquirir e a substituir pelo projeto (i.e. a descontinuar) devem ter fatores de emissão diferentes.</t>
        </r>
      </text>
    </comment>
    <comment ref="F18" authorId="0" shapeId="0" xr:uid="{2936F3CD-DA2F-4D15-AC9A-69CDD1B34EF3}">
      <text>
        <r>
          <rPr>
            <sz val="18"/>
            <color indexed="81"/>
            <rFont val="Tahoma"/>
            <family val="2"/>
          </rPr>
          <t>Ano típico do projeto é igual a n+2 em que "n" é o ano de  ínicio de operação do projeto</t>
        </r>
        <r>
          <rPr>
            <b/>
            <sz val="9"/>
            <color indexed="81"/>
            <rFont val="Tahoma"/>
            <family val="2"/>
          </rPr>
          <t xml:space="preserve">
</t>
        </r>
      </text>
    </comment>
    <comment ref="D26" authorId="0" shapeId="0" xr:uid="{3C7E5824-DA58-4269-92A3-DCF2905C47C7}">
      <text>
        <r>
          <rPr>
            <sz val="14"/>
            <color indexed="81"/>
            <rFont val="Tahoma"/>
            <family val="2"/>
          </rPr>
          <t>Sem emissões de GEE da produção do transporte</t>
        </r>
      </text>
    </comment>
    <comment ref="H26" authorId="0" shapeId="0" xr:uid="{7FF4D4A1-917B-4AEC-AF4D-06252975264B}">
      <text>
        <r>
          <rPr>
            <sz val="14"/>
            <color indexed="81"/>
            <rFont val="Tahoma"/>
            <family val="2"/>
          </rPr>
          <t>Com emissões de GEE da produção do transporte</t>
        </r>
      </text>
    </comment>
    <comment ref="C33" authorId="0" shapeId="0" xr:uid="{8EC1F4A4-EFD4-40CD-8398-291849CAE60B}">
      <text>
        <r>
          <rPr>
            <sz val="14"/>
            <color theme="1"/>
            <rFont val="Tahoma"/>
            <family val="2"/>
          </rPr>
          <t>Interpretação de resultados (emissões relativas = Re= Ab-Be):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34" authorId="0" shapeId="0" xr:uid="{50EBB5F1-0616-46C8-92E5-77645585092B}">
      <text>
        <r>
          <rPr>
            <sz val="14"/>
            <color indexed="81"/>
            <rFont val="Tahoma"/>
            <family val="2"/>
          </rPr>
          <t>Interpretação dos resultados (emissões evitadas = - Re= Be- Ab)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C40" authorId="0" shapeId="0" xr:uid="{55C86C9E-884C-4ED8-8CEE-FEF595F19F65}">
      <text>
        <r>
          <rPr>
            <sz val="14"/>
            <color indexed="81"/>
            <rFont val="Tahoma"/>
            <family val="2"/>
          </rPr>
          <t>As tipologias consideradas para o cálculo das emissões relativas em projetos de transporte
        rodoviário de passageiros são:
      - Minibus com capacidade média até 40 passageiros
      - Autocarros Standard com capacidade média até 85 passageiros
      - Autocarros articulados/ BRTs (Bus Rapid Transit) com capacidade  média até 130 passageiros
Para cada tipologia de projeto são considerados o transporte a adquirir pelo projeto  e o transporte a substituir (i.e. a descontinuar).</t>
        </r>
        <r>
          <rPr>
            <sz val="9"/>
            <color indexed="81"/>
            <rFont val="Tahoma"/>
            <charset val="1"/>
          </rPr>
          <t xml:space="preserve">  </t>
        </r>
      </text>
    </comment>
    <comment ref="H42" authorId="0" shapeId="0" xr:uid="{1B077DAE-3CCF-46CF-B777-7755F5B7287C}">
      <text>
        <r>
          <rPr>
            <sz val="14"/>
            <color indexed="81"/>
            <rFont val="Tahoma"/>
            <family val="2"/>
          </rPr>
          <t xml:space="preserve">Preenchimento dos campos dos fatores de emissão dos modos de transporte a substituir
         1. Introduzir o fator de emissão de GEE  para os tipos de transporte previstos no
            projeto.
</t>
        </r>
        <r>
          <rPr>
            <b/>
            <sz val="14"/>
            <color indexed="81"/>
            <rFont val="Tahoma"/>
            <family val="2"/>
          </rPr>
          <t xml:space="preserve">          
 Nota 1:</t>
        </r>
        <r>
          <rPr>
            <sz val="14"/>
            <color indexed="81"/>
            <rFont val="Tahoma"/>
            <family val="2"/>
          </rPr>
          <t xml:space="preserve"> Não existem fatores de emissão padrão para o transporte. Contudo, podem ser consultados exemplos de fatores de emissão para o transporte no separador "Fatores de emissão". 
</t>
        </r>
        <r>
          <rPr>
            <b/>
            <sz val="14"/>
            <color indexed="81"/>
            <rFont val="Tahoma"/>
            <family val="2"/>
          </rPr>
          <t xml:space="preserve"> Nota 2:</t>
        </r>
        <r>
          <rPr>
            <sz val="14"/>
            <color indexed="81"/>
            <rFont val="Tahoma"/>
            <family val="2"/>
          </rPr>
          <t xml:space="preserve"> O transporte a adquirir e a substituir pelo projeto (i.e. a descontinuar) devem ter fatores de emissão diferentes.
</t>
        </r>
        <r>
          <rPr>
            <sz val="9"/>
            <color indexed="81"/>
            <rFont val="Tahoma"/>
            <family val="2"/>
          </rPr>
          <t xml:space="preserve">
</t>
        </r>
      </text>
    </comment>
    <comment ref="M42" authorId="0" shapeId="0" xr:uid="{D9079CA5-B39B-4820-9386-B20772EEE533}">
      <text>
        <r>
          <rPr>
            <sz val="14"/>
            <color indexed="81"/>
            <rFont val="Tahoma"/>
            <family val="2"/>
          </rPr>
          <t>Preenchimento dos campos dos fatores de emissão transporte a
adquirir
         1. Introduzir o fator de emissão de GEE  para os tipos de
            transporte previstos no projeto.
 Nota 1: Não existem fatores de emissão padrão para o transporte. Contudo, podem ser consultados exemplos de fatores de emissão para o transporte no separador "Fatores de emissão". 
 Nota 2: O transporte a adquirir e a substituir pelo projeto (i.e. a descontinuar) devem ter fatores de emissão diferentes.</t>
        </r>
      </text>
    </comment>
    <comment ref="F43" authorId="0" shapeId="0" xr:uid="{AC37F74A-D212-4FB0-A548-93E36BB73C48}">
      <text>
        <r>
          <rPr>
            <sz val="18"/>
            <color indexed="81"/>
            <rFont val="Tahoma"/>
            <family val="2"/>
          </rPr>
          <t>Ano típico do projeto é igual a n+2 em que "n" é o ano de  ínicio de operação do projeto</t>
        </r>
        <r>
          <rPr>
            <b/>
            <sz val="9"/>
            <color indexed="81"/>
            <rFont val="Tahoma"/>
            <family val="2"/>
          </rPr>
          <t xml:space="preserve">
</t>
        </r>
      </text>
    </comment>
    <comment ref="C44" authorId="0" shapeId="0" xr:uid="{02353CA0-B081-48B9-86CA-ADE7296B88C7}">
      <text>
        <r>
          <rPr>
            <sz val="14"/>
            <color indexed="81"/>
            <rFont val="Tahoma"/>
            <family val="2"/>
          </rPr>
          <t>Minibus: &lt; 40 passageiros
Autocarros elétricos (incluindo 
hidrogénio)</t>
        </r>
      </text>
    </comment>
    <comment ref="C45" authorId="0" shapeId="0" xr:uid="{D6527B0C-2DA1-44B2-98BC-935871B7E676}">
      <text>
        <r>
          <rPr>
            <sz val="14"/>
            <color indexed="81"/>
            <rFont val="Tahoma"/>
            <family val="2"/>
          </rPr>
          <t>Minibus: &lt; 40 passageiros</t>
        </r>
      </text>
    </comment>
    <comment ref="C46" authorId="0" shapeId="0" xr:uid="{A4D46181-5C48-47F2-A79F-780328000A73}">
      <text>
        <r>
          <rPr>
            <sz val="14"/>
            <color indexed="81"/>
            <rFont val="Tahoma"/>
            <family val="2"/>
          </rPr>
          <t xml:space="preserve"> Autocarro Standard: &lt; 85 passageiros
Autocarros elétricos (incluindo 
hidrogénio)</t>
        </r>
      </text>
    </comment>
    <comment ref="C47" authorId="0" shapeId="0" xr:uid="{6D1711A8-3848-46E6-B342-6BE30517BC9F}">
      <text>
        <r>
          <rPr>
            <b/>
            <sz val="9"/>
            <color indexed="81"/>
            <rFont val="Tahoma"/>
            <family val="2"/>
          </rPr>
          <t xml:space="preserve"> </t>
        </r>
        <r>
          <rPr>
            <sz val="14"/>
            <color indexed="81"/>
            <rFont val="Tahoma"/>
            <family val="2"/>
          </rPr>
          <t>Autocarro Standard: &lt; 85 passageiros</t>
        </r>
      </text>
    </comment>
    <comment ref="C48" authorId="0" shapeId="0" xr:uid="{42ECC2F7-C969-40FE-9009-D2FBBBA23B9D}">
      <text>
        <r>
          <rPr>
            <sz val="14"/>
            <color indexed="81"/>
            <rFont val="Tahoma"/>
            <family val="2"/>
          </rPr>
          <t>Autocarros Articulados/ BRTs: &lt;130 passageiros
Autocarros elétricos (incluindo hidrogénio)</t>
        </r>
      </text>
    </comment>
    <comment ref="C49" authorId="0" shapeId="0" xr:uid="{A68360C4-4F76-4176-ACC4-2AB9CEF5F25C}">
      <text>
        <r>
          <rPr>
            <sz val="14"/>
            <color indexed="81"/>
            <rFont val="Tahoma"/>
            <family val="2"/>
          </rPr>
          <t>Autocarros Articulados/ BRTs: &lt;130 passageiros</t>
        </r>
        <r>
          <rPr>
            <b/>
            <sz val="14"/>
            <color indexed="81"/>
            <rFont val="Tahoma"/>
            <family val="2"/>
          </rPr>
          <t xml:space="preserve">
</t>
        </r>
      </text>
    </comment>
    <comment ref="D53" authorId="0" shapeId="0" xr:uid="{6BA2BAAC-FF2C-4FFF-8F91-EBBE08835339}">
      <text>
        <r>
          <rPr>
            <sz val="14"/>
            <color indexed="81"/>
            <rFont val="Tahoma"/>
            <family val="2"/>
          </rPr>
          <t>Sem emissões de GEE da produção do transporte</t>
        </r>
      </text>
    </comment>
    <comment ref="H53" authorId="0" shapeId="0" xr:uid="{2752A465-48C4-4FFA-B3D5-9FD4F22D83C9}">
      <text>
        <r>
          <rPr>
            <sz val="14"/>
            <color indexed="81"/>
            <rFont val="Tahoma"/>
            <family val="2"/>
          </rPr>
          <t>Com emissões de GEE da produção do transporte</t>
        </r>
      </text>
    </comment>
    <comment ref="C55" authorId="0" shapeId="0" xr:uid="{7F59B89A-1EB8-44C1-81CC-3CB1E040E76B}">
      <text>
        <r>
          <rPr>
            <sz val="14"/>
            <color indexed="81"/>
            <rFont val="Tahoma"/>
            <family val="2"/>
          </rPr>
          <t>Minibus: &lt; 40 passageiros
Autocarros elétricos (incluindo 
hidrogénio)</t>
        </r>
      </text>
    </comment>
    <comment ref="C56" authorId="0" shapeId="0" xr:uid="{F86E80EE-33DA-4C80-925E-3A1571B0210C}">
      <text>
        <r>
          <rPr>
            <sz val="14"/>
            <color indexed="81"/>
            <rFont val="Tahoma"/>
            <family val="2"/>
          </rPr>
          <t>Minibus: &lt; 40 passageiros</t>
        </r>
      </text>
    </comment>
    <comment ref="C57" authorId="0" shapeId="0" xr:uid="{4B861E58-433C-4869-8DF9-4E2E64D82223}">
      <text>
        <r>
          <rPr>
            <sz val="14"/>
            <color indexed="81"/>
            <rFont val="Tahoma"/>
            <family val="2"/>
          </rPr>
          <t xml:space="preserve"> Autocarro Standard: &lt; 85 passageiros
Autocarros elétricos (incluindo 
hidrogénio)</t>
        </r>
      </text>
    </comment>
    <comment ref="C58" authorId="0" shapeId="0" xr:uid="{A6984B5A-E8AA-4B14-B753-E716EAC7B30D}">
      <text>
        <r>
          <rPr>
            <b/>
            <sz val="9"/>
            <color indexed="81"/>
            <rFont val="Tahoma"/>
            <family val="2"/>
          </rPr>
          <t xml:space="preserve"> </t>
        </r>
        <r>
          <rPr>
            <sz val="14"/>
            <color indexed="81"/>
            <rFont val="Tahoma"/>
            <family val="2"/>
          </rPr>
          <t>Autocarro Standard: &lt; 85 passageiros</t>
        </r>
      </text>
    </comment>
    <comment ref="C59" authorId="0" shapeId="0" xr:uid="{AACFC3A2-1912-4CEB-92EA-10C1BEEA9634}">
      <text>
        <r>
          <rPr>
            <sz val="14"/>
            <color indexed="81"/>
            <rFont val="Tahoma"/>
            <family val="2"/>
          </rPr>
          <t>Autocarros Articulados/ BRTs: &lt;130 passageiros
Autocarros elétricos (incluindo hidrogénio)</t>
        </r>
      </text>
    </comment>
    <comment ref="C60" authorId="0" shapeId="0" xr:uid="{E8D3CAC9-2FBF-41C9-9419-AA726EE1F883}">
      <text>
        <r>
          <rPr>
            <sz val="14"/>
            <color indexed="81"/>
            <rFont val="Tahoma"/>
            <family val="2"/>
          </rPr>
          <t>Autocarros Articulados/ BRTs: &lt;130 passageiros</t>
        </r>
        <r>
          <rPr>
            <b/>
            <sz val="14"/>
            <color indexed="81"/>
            <rFont val="Tahoma"/>
            <family val="2"/>
          </rPr>
          <t xml:space="preserve">
</t>
        </r>
      </text>
    </comment>
    <comment ref="C62" authorId="0" shapeId="0" xr:uid="{DC5E7AD6-8AE6-4972-99F0-2299C5867C61}">
      <text>
        <r>
          <rPr>
            <sz val="14"/>
            <color theme="1"/>
            <rFont val="Tahoma"/>
            <family val="2"/>
          </rPr>
          <t>Interpretação de resultados (emissões relativas = Re= Ab-Be):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63" authorId="0" shapeId="0" xr:uid="{11FE38D7-C401-45E5-A7D6-0324FED1237E}">
      <text>
        <r>
          <rPr>
            <sz val="14"/>
            <color indexed="81"/>
            <rFont val="Tahoma"/>
            <family val="2"/>
          </rPr>
          <t>Interpretação dos resultados (emissões evitadas = - Re= Be- Ab)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C69" authorId="0" shapeId="0" xr:uid="{27E76D25-A3C1-4C9E-B724-92F9ED0B471E}">
      <text>
        <r>
          <rPr>
            <sz val="14"/>
            <color indexed="81"/>
            <rFont val="Tahoma"/>
            <family val="2"/>
          </rPr>
          <t xml:space="preserve"> As tipologias consideradas para o cálculo das emissões são:
      - Comboios urbanos
      - Comboios (metro subterrâneo)
      - Comboios (metro de superfície)
       - Comboios (metro de superfície + subterrâneo)
       - Elétricos
Para cada tipologia de projeto são considerados o material circulante a adquirir pelo projeto  e o material circulante a substituir (i.e. a descontinuar).  </t>
        </r>
      </text>
    </comment>
    <comment ref="H71" authorId="0" shapeId="0" xr:uid="{787B5E5F-2136-4F20-8951-A9290790847A}">
      <text>
        <r>
          <rPr>
            <sz val="14"/>
            <color indexed="81"/>
            <rFont val="Tahoma"/>
            <family val="2"/>
          </rPr>
          <t xml:space="preserve">Preenchimento dos campos dos fatores de emissão dos modos de transporte a substituir
         1. Introduzir o fator de emissão de GEE  para os tipos de transporte previstos no
            projeto.
</t>
        </r>
        <r>
          <rPr>
            <b/>
            <sz val="14"/>
            <color indexed="81"/>
            <rFont val="Tahoma"/>
            <family val="2"/>
          </rPr>
          <t xml:space="preserve">          
 Nota 1:</t>
        </r>
        <r>
          <rPr>
            <sz val="14"/>
            <color indexed="81"/>
            <rFont val="Tahoma"/>
            <family val="2"/>
          </rPr>
          <t xml:space="preserve"> Não existem fatores de emissão padrão para o transporte. Contudo, podem ser consultados exemplos de fatores de emissão para o transporte no separador "Fatores de emissão". 
</t>
        </r>
        <r>
          <rPr>
            <b/>
            <sz val="14"/>
            <color indexed="81"/>
            <rFont val="Tahoma"/>
            <family val="2"/>
          </rPr>
          <t xml:space="preserve"> Nota 2:</t>
        </r>
        <r>
          <rPr>
            <sz val="14"/>
            <color indexed="81"/>
            <rFont val="Tahoma"/>
            <family val="2"/>
          </rPr>
          <t xml:space="preserve"> O transporte a adquirir e a substituir pelo projeto (i.e. a descontinuar) devem  ter fatores de emissão diferentes.</t>
        </r>
      </text>
    </comment>
    <comment ref="M71" authorId="0" shapeId="0" xr:uid="{617FA4B0-EDC1-41DB-BA46-D08BBE12C08B}">
      <text>
        <r>
          <rPr>
            <sz val="14"/>
            <color indexed="81"/>
            <rFont val="Tahoma"/>
            <family val="2"/>
          </rPr>
          <t>Preenchimento dos campos dos fatores de emissão transporte a
adquirir
         1. Introduzir o fator de emissão de GEE  para os tipos de
            transporte previstos no projeto.
 Nota 1: Não existem fatores de emissão padrão para o transporte. Contudo, podem ser consultados exemplos de fatores de emissão para o transporte no separador "Fatores de emissão". 
 Nota 2: O transporte a adquirir e a substituir pelo projeto (i.e. a descontinuar) devem ter fatores de emissão diferentes.</t>
        </r>
      </text>
    </comment>
    <comment ref="F72" authorId="0" shapeId="0" xr:uid="{FB2ACE48-5630-4FA9-B98F-693A8330C2E0}">
      <text>
        <r>
          <rPr>
            <sz val="18"/>
            <color indexed="81"/>
            <rFont val="Tahoma"/>
            <family val="2"/>
          </rPr>
          <t>Ano típico do projeto é igual a n+2 em que "n" é o ano de  ínicio de operação do projeto</t>
        </r>
        <r>
          <rPr>
            <b/>
            <sz val="9"/>
            <color indexed="81"/>
            <rFont val="Tahoma"/>
            <family val="2"/>
          </rPr>
          <t xml:space="preserve">
</t>
        </r>
      </text>
    </comment>
    <comment ref="D81" authorId="0" shapeId="0" xr:uid="{D68B18A8-D410-41AA-B4C9-316633DC92BD}">
      <text>
        <r>
          <rPr>
            <sz val="14"/>
            <color indexed="81"/>
            <rFont val="Tahoma"/>
            <family val="2"/>
          </rPr>
          <t>Sem emissões de GEE da produção do transporte</t>
        </r>
      </text>
    </comment>
    <comment ref="H81" authorId="0" shapeId="0" xr:uid="{A2281CCF-94ED-494E-904B-94151656CA15}">
      <text>
        <r>
          <rPr>
            <sz val="14"/>
            <color indexed="81"/>
            <rFont val="Tahoma"/>
            <family val="2"/>
          </rPr>
          <t>Com emissões de GEE da produção do transporte</t>
        </r>
      </text>
    </comment>
    <comment ref="E82" authorId="0" shapeId="0" xr:uid="{F9D361F4-C349-4223-A3B1-EFA54B771D62}">
      <text>
        <r>
          <rPr>
            <sz val="14"/>
            <color indexed="81"/>
            <rFont val="Tahoma"/>
            <family val="2"/>
          </rPr>
          <t>Interpretação de resultados (emissões relativas = Re= Ab-Be):
(A) Se Re &lt; 0, o projeto contribui para a redução das emissões de GEE relativamente às emissões do cenário de referência (SEM projeto) considerado. 
(B) Se Re = 0, o projeto apresenta emissões de GEE iguais às emissões do cenário de referência (SEM projeto) considerado.
(C) Se Re &gt;0, o projeto contribui para o incremento das emissões de GEE relativamente às emissões do cenário de referência (SEM projeto) considerado.</t>
        </r>
      </text>
    </comment>
    <comment ref="C89" authorId="0" shapeId="0" xr:uid="{9E49CD17-6599-467E-AF4F-E30D96AF845A}">
      <text>
        <r>
          <rPr>
            <sz val="14"/>
            <color theme="1"/>
            <rFont val="Tahoma"/>
            <family val="2"/>
          </rPr>
          <t>Interpretação de resultados (emissões relativas = Re= Ab-Be):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90" authorId="0" shapeId="0" xr:uid="{758B0E6B-48E0-4203-89FD-D98C6240B593}">
      <text>
        <r>
          <rPr>
            <sz val="14"/>
            <color indexed="81"/>
            <rFont val="Tahoma"/>
            <family val="2"/>
          </rPr>
          <t>Interpretação dos resultados (emissões evitadas = - Re= Be- Ab)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C96" authorId="0" shapeId="0" xr:uid="{4F0D2036-D987-4F10-BE2F-82D12BC59ED8}">
      <text>
        <r>
          <rPr>
            <sz val="14"/>
            <color indexed="81"/>
            <rFont val="Tahoma"/>
            <family val="2"/>
          </rPr>
          <t>As tipologias consideradas para o cálculo das emissões relativas em projetos de transporte rodoviário de passageiros são:
      - Navios/ embarcações para trnasporte de passageiros
Para cada tipologia de projeto são considerados o transporte a adquirir pelo projeto  e o transporte a substituir (i.e. a descontinuar).</t>
        </r>
      </text>
    </comment>
    <comment ref="H98" authorId="0" shapeId="0" xr:uid="{551653C7-F14D-4380-A7DD-63B511BF58D2}">
      <text>
        <r>
          <rPr>
            <sz val="14"/>
            <color indexed="81"/>
            <rFont val="Tahoma"/>
            <family val="2"/>
          </rPr>
          <t xml:space="preserve">Preenchimento dos campos dos fatores de emissão dos modos de transporte a substituir
         1. Introduzir o fator de emissão de GEE  para os tipos de transporte previstos no
            projeto.
</t>
        </r>
        <r>
          <rPr>
            <b/>
            <sz val="14"/>
            <color indexed="81"/>
            <rFont val="Tahoma"/>
            <family val="2"/>
          </rPr>
          <t xml:space="preserve">          
 Nota 1:</t>
        </r>
        <r>
          <rPr>
            <sz val="14"/>
            <color indexed="81"/>
            <rFont val="Tahoma"/>
            <family val="2"/>
          </rPr>
          <t xml:space="preserve"> Não existem fatores de emissão padrão para o transporte. Contudo, podem ser consultados exemplos de fatores de emissão para o transporte no separador "Fatores de emissão". 
</t>
        </r>
        <r>
          <rPr>
            <b/>
            <sz val="14"/>
            <color indexed="81"/>
            <rFont val="Tahoma"/>
            <family val="2"/>
          </rPr>
          <t xml:space="preserve"> Nota 2:</t>
        </r>
        <r>
          <rPr>
            <sz val="14"/>
            <color indexed="81"/>
            <rFont val="Tahoma"/>
            <family val="2"/>
          </rPr>
          <t xml:space="preserve"> O transporte a adquirir e a substituir pelo projeto (i.e. a descontinuar) devem ter fatores de emissão diferentes.
</t>
        </r>
      </text>
    </comment>
    <comment ref="M98" authorId="0" shapeId="0" xr:uid="{5976E711-B19C-469D-96B4-AD483D7F1C86}">
      <text>
        <r>
          <rPr>
            <sz val="14"/>
            <color indexed="81"/>
            <rFont val="Tahoma"/>
            <family val="2"/>
          </rPr>
          <t>Preenchimento dos campos dos fatores de emissão transporte a
adquirir
         1. Introduzir o fator de emissão de GEE  para os tipos de
            transporte previstos no projeto.
 Nota 1: Não existem fatores de emissão padrão para o transporte. Contudo, podem ser consultados exemplos de fatores de emissão para o transporte no separador "Fatores de emissão". 
 Nota 2: O transporte a adquirir e a substituir pelo projeto (i.e. a descontinuar) devem ter fatores de emissão diferentes.</t>
        </r>
      </text>
    </comment>
    <comment ref="F99" authorId="0" shapeId="0" xr:uid="{FC8AE19F-90F9-4492-BCEF-218DE103C79B}">
      <text>
        <r>
          <rPr>
            <sz val="18"/>
            <color indexed="81"/>
            <rFont val="Tahoma"/>
            <family val="2"/>
          </rPr>
          <t>Ano típico do projeto é igual a n+2 em que "n" é o ano de  ínicio de operação do projeto</t>
        </r>
        <r>
          <rPr>
            <b/>
            <sz val="9"/>
            <color indexed="81"/>
            <rFont val="Tahoma"/>
            <family val="2"/>
          </rPr>
          <t xml:space="preserve">
</t>
        </r>
      </text>
    </comment>
    <comment ref="D104" authorId="0" shapeId="0" xr:uid="{2DCE0107-D53F-46A4-A283-27B014AF2303}">
      <text>
        <r>
          <rPr>
            <sz val="14"/>
            <color indexed="81"/>
            <rFont val="Tahoma"/>
            <family val="2"/>
          </rPr>
          <t>Sem emissões de GEE da produção do transporte</t>
        </r>
      </text>
    </comment>
    <comment ref="H104" authorId="0" shapeId="0" xr:uid="{FCA95851-BD54-4AED-8AE8-691C2451DBAE}">
      <text>
        <r>
          <rPr>
            <sz val="14"/>
            <color indexed="81"/>
            <rFont val="Tahoma"/>
            <family val="2"/>
          </rPr>
          <t>Com emissões de GEE da produção do transporte</t>
        </r>
      </text>
    </comment>
    <comment ref="C106" authorId="0" shapeId="0" xr:uid="{B22F0025-7A04-4102-93E1-B334DC09B4EB}">
      <text>
        <r>
          <rPr>
            <sz val="14"/>
            <color theme="1"/>
            <rFont val="Tahoma"/>
            <family val="2"/>
          </rPr>
          <t>Interpretação de resultados (emissões relativas = Re= Ab-Be):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07" authorId="0" shapeId="0" xr:uid="{6D64A3A7-CDB7-44DD-94FE-150F9C3460AA}">
      <text>
        <r>
          <rPr>
            <sz val="14"/>
            <color indexed="81"/>
            <rFont val="Tahoma"/>
            <family val="2"/>
          </rPr>
          <t>Interpretação dos resultados (emissões evitadas = - Re= Be- Ab)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C113" authorId="0" shapeId="0" xr:uid="{A902BA4F-5AFC-48A8-9EB1-855E1BBFF549}">
      <text>
        <r>
          <rPr>
            <sz val="14"/>
            <color indexed="81"/>
            <rFont val="Tahoma"/>
            <family val="2"/>
          </rPr>
          <t>As tipologias consideradas para o cálculo das emissões relativas em projetos de:
- carregamento de veículos elétricos
- carregamento de navios/embarcações
Para cada tipologia de projeto são considerados o transporte a adquirir pelo projeto  e o transporte a substituir (i.e. a descontinuar).  
Começar por indicar o tipo de transporte sujeito a carregamento veículo/ embarcação e completar as seguintes tabelas (dados do projeto e fatores de emissão do transporte.</t>
        </r>
      </text>
    </comment>
    <comment ref="H115" authorId="0" shapeId="0" xr:uid="{9DDF4F99-8055-4BAE-B2F1-CB7236FEDD5F}">
      <text>
        <r>
          <rPr>
            <sz val="14"/>
            <color indexed="81"/>
            <rFont val="Tahoma"/>
            <family val="2"/>
          </rPr>
          <t xml:space="preserve">Preenchimento dos campos dos fatores de emissão dos modos de transporte a substituir
         1. Introduzir o fator de emissão de GEE  para os tipos de transporte previstos no
            projeto.
</t>
        </r>
        <r>
          <rPr>
            <b/>
            <sz val="14"/>
            <color indexed="81"/>
            <rFont val="Tahoma"/>
            <family val="2"/>
          </rPr>
          <t xml:space="preserve">          
 Nota 1:</t>
        </r>
        <r>
          <rPr>
            <sz val="14"/>
            <color indexed="81"/>
            <rFont val="Tahoma"/>
            <family val="2"/>
          </rPr>
          <t xml:space="preserve"> Não existem fatores de emissão padrão para o transporte. Contudo, podem ser consultados exemplos de fatores de emissão para o transporte no separador "Fatores de emissão". 
</t>
        </r>
        <r>
          <rPr>
            <b/>
            <sz val="14"/>
            <color indexed="81"/>
            <rFont val="Tahoma"/>
            <family val="2"/>
          </rPr>
          <t xml:space="preserve"> Nota 2:</t>
        </r>
        <r>
          <rPr>
            <sz val="14"/>
            <color indexed="81"/>
            <rFont val="Tahoma"/>
            <family val="2"/>
          </rPr>
          <t xml:space="preserve"> O transporte a adquirir e a substituir pelo projeto (i.e. a descontinuar) devem  ter fatores de emissão diferentes.</t>
        </r>
      </text>
    </comment>
    <comment ref="M115" authorId="0" shapeId="0" xr:uid="{C813168D-9649-449A-ACCD-0F313CC7727F}">
      <text>
        <r>
          <rPr>
            <sz val="14"/>
            <color indexed="81"/>
            <rFont val="Tahoma"/>
            <family val="2"/>
          </rPr>
          <t>Preenchimento dos campos dos fatores de emissão transporte a
adquirir
         1. Introduzir o fator de emissão de GEE  para os tipos de
            transporte previstos no projeto.
 Nota 1: Não existem fatores de emissão padrão para o transporte. Contudo, podem ser consultados exemplos de fatores de emissão para o transporte no separador "Fatores de emissão". 
 Nota 2: O transporte a adquirir e a substituir pelo projeto (i.e. a descontinuar) devem ter fatores de emissão diferentes.</t>
        </r>
      </text>
    </comment>
    <comment ref="F116" authorId="0" shapeId="0" xr:uid="{EC99F2E9-5A40-4909-B8F6-0593CE2AD268}">
      <text>
        <r>
          <rPr>
            <sz val="18"/>
            <color indexed="81"/>
            <rFont val="Tahoma"/>
            <family val="2"/>
          </rPr>
          <t>Ano típico do projeto é igual a n+2 em que "n" é o ano de  ínicio de operação do projeto</t>
        </r>
        <r>
          <rPr>
            <b/>
            <sz val="9"/>
            <color indexed="81"/>
            <rFont val="Tahoma"/>
            <family val="2"/>
          </rPr>
          <t xml:space="preserve">
</t>
        </r>
      </text>
    </comment>
    <comment ref="D124" authorId="0" shapeId="0" xr:uid="{B10C0D49-528C-4F86-9D17-357F8CEE313A}">
      <text>
        <r>
          <rPr>
            <sz val="14"/>
            <color indexed="81"/>
            <rFont val="Tahoma"/>
            <family val="2"/>
          </rPr>
          <t>Sem emissões de GEE da produção do transporte</t>
        </r>
      </text>
    </comment>
    <comment ref="H124" authorId="0" shapeId="0" xr:uid="{C4883146-FF75-4EF2-B2AE-F44EF8BD1BAF}">
      <text>
        <r>
          <rPr>
            <sz val="14"/>
            <color indexed="81"/>
            <rFont val="Tahoma"/>
            <family val="2"/>
          </rPr>
          <t>Com emissões de GEE da produção do transporte</t>
        </r>
      </text>
    </comment>
    <comment ref="C131" authorId="0" shapeId="0" xr:uid="{5823C5B2-7919-4C0D-B72D-1BF67E78DD76}">
      <text>
        <r>
          <rPr>
            <sz val="14"/>
            <color theme="1"/>
            <rFont val="Tahoma"/>
            <family val="2"/>
          </rPr>
          <t>Interpretação de resultados (emissões relativas = Re= Ab-Be):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32" authorId="0" shapeId="0" xr:uid="{86B33891-6C09-4065-83A6-0E3F027CD8B1}">
      <text>
        <r>
          <rPr>
            <sz val="14"/>
            <color indexed="81"/>
            <rFont val="Tahoma"/>
            <family val="2"/>
          </rPr>
          <t>Interpretação dos resultados (emissões evitadas = - Re= Be- Ab)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D37" authorId="0" shapeId="0" xr:uid="{CFB69B78-E706-4844-ABF5-A907201BE523}">
      <text>
        <r>
          <rPr>
            <sz val="10"/>
            <color indexed="81"/>
            <rFont val="Tahoma"/>
            <family val="2"/>
          </rPr>
          <t>NUTS 2024: 
AML corresponde à NUT II  e NUT III Grande Lisboa e Peninsula de Setúbal.</t>
        </r>
      </text>
    </comment>
    <comment ref="C40" authorId="0" shapeId="0" xr:uid="{64DB3FC5-3D97-4B32-A4EC-1AF6C7B2E946}">
      <text>
        <r>
          <rPr>
            <sz val="10"/>
            <color indexed="81"/>
            <rFont val="Tahoma"/>
            <family val="2"/>
          </rPr>
          <t>Exemplo: iluminação urbana</t>
        </r>
      </text>
    </comment>
    <comment ref="E156" authorId="0" shapeId="0" xr:uid="{D2980A2A-BE13-413F-A6C9-05FF998E9CA8}">
      <text>
        <r>
          <rPr>
            <sz val="10"/>
            <color indexed="81"/>
            <rFont val="Tahoma"/>
            <family val="2"/>
          </rPr>
          <t>Sem emissões de GEE da produção do transporte</t>
        </r>
      </text>
    </comment>
    <comment ref="F156" authorId="0" shapeId="0" xr:uid="{5852A6B0-ADC9-4724-B4CE-DD599A91101A}">
      <text>
        <r>
          <rPr>
            <sz val="10"/>
            <color indexed="81"/>
            <rFont val="Tahoma"/>
            <family val="2"/>
          </rPr>
          <t>Com emissões de GEE da produção do transporte</t>
        </r>
      </text>
    </comment>
    <comment ref="C157" authorId="0" shapeId="0" xr:uid="{87BDFD6D-91F4-4657-99CE-5A6DC9DA9F73}">
      <text>
        <r>
          <rPr>
            <b/>
            <sz val="11"/>
            <color indexed="81"/>
            <rFont val="Tahoma"/>
            <family val="2"/>
          </rPr>
          <t>Interpretação de resultados (emissões relativas = Re= Ab-Be):</t>
        </r>
        <r>
          <rPr>
            <sz val="11"/>
            <color indexed="81"/>
            <rFont val="Tahoma"/>
            <family val="2"/>
          </rPr>
          <t xml:space="preserv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60" authorId="0" shapeId="0" xr:uid="{CB530341-386B-47EA-B418-720BAB8420C2}">
      <text>
        <r>
          <rPr>
            <b/>
            <sz val="11"/>
            <color indexed="81"/>
            <rFont val="Tahoma"/>
            <family val="2"/>
          </rPr>
          <t>Interpretação dos resultados (emissões evitadas = - Re= Be- Ab)</t>
        </r>
        <r>
          <rPr>
            <sz val="11"/>
            <color indexed="81"/>
            <rFont val="Tahoma"/>
            <family val="2"/>
          </rPr>
          <t xml:space="preserve">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E166" authorId="0" shapeId="0" xr:uid="{671E5231-BF23-4ABB-BBC5-5AC8B5AD699D}">
      <text>
        <r>
          <rPr>
            <sz val="10"/>
            <color indexed="81"/>
            <rFont val="Tahoma"/>
            <family val="2"/>
          </rPr>
          <t>Sem emissões de GEE da produção do transporte</t>
        </r>
      </text>
    </comment>
    <comment ref="F166" authorId="0" shapeId="0" xr:uid="{169F9EB9-74A9-4B0D-BB10-605AB114332F}">
      <text>
        <r>
          <rPr>
            <sz val="10"/>
            <color indexed="81"/>
            <rFont val="Tahoma"/>
            <family val="2"/>
          </rPr>
          <t>Com emissões de GEE da produção do transporte</t>
        </r>
      </text>
    </comment>
    <comment ref="E170" authorId="0" shapeId="0" xr:uid="{CEAEA2CB-9FB5-4D67-9B8B-C1F74FE8F46A}">
      <text>
        <r>
          <rPr>
            <sz val="10"/>
            <color indexed="81"/>
            <rFont val="Tahoma"/>
            <family val="2"/>
          </rPr>
          <t>Sem emissões de GEE da produção do transporte</t>
        </r>
      </text>
    </comment>
    <comment ref="F170" authorId="0" shapeId="0" xr:uid="{2F3B01FB-E05F-4C2A-A173-DC46FBC223EC}">
      <text>
        <r>
          <rPr>
            <sz val="10"/>
            <color indexed="81"/>
            <rFont val="Tahoma"/>
            <family val="2"/>
          </rPr>
          <t>Com emissões de GEE da produção do transporte</t>
        </r>
      </text>
    </comment>
    <comment ref="E174" authorId="0" shapeId="0" xr:uid="{5189235A-2302-460C-B81D-4CE2F8260298}">
      <text>
        <r>
          <rPr>
            <sz val="10"/>
            <color indexed="81"/>
            <rFont val="Tahoma"/>
            <family val="2"/>
          </rPr>
          <t>Sem emissões de GEE da produção do transporte</t>
        </r>
      </text>
    </comment>
    <comment ref="F174" authorId="0" shapeId="0" xr:uid="{C09B7AC0-8A18-452D-8779-E187CC4D12A1}">
      <text>
        <r>
          <rPr>
            <sz val="10"/>
            <color indexed="81"/>
            <rFont val="Tahoma"/>
            <family val="2"/>
          </rPr>
          <t>Com emissões de GEE da produção do transporte</t>
        </r>
      </text>
    </comment>
    <comment ref="E178" authorId="0" shapeId="0" xr:uid="{F557713D-B7C0-4407-B919-5F62BE494E86}">
      <text>
        <r>
          <rPr>
            <sz val="10"/>
            <color indexed="81"/>
            <rFont val="Tahoma"/>
            <family val="2"/>
          </rPr>
          <t>Sem emissões de GEE da produção do transporte</t>
        </r>
      </text>
    </comment>
    <comment ref="F178" authorId="0" shapeId="0" xr:uid="{F860CC8A-74CA-437F-9E85-3FE071317D1F}">
      <text>
        <r>
          <rPr>
            <sz val="10"/>
            <color indexed="81"/>
            <rFont val="Tahoma"/>
            <family val="2"/>
          </rPr>
          <t>Com emissões de GEE da produção do transporte</t>
        </r>
      </text>
    </comment>
    <comment ref="E182" authorId="0" shapeId="0" xr:uid="{7B23CEA2-C789-436B-9B94-28ADCAC0C2D3}">
      <text>
        <r>
          <rPr>
            <sz val="10"/>
            <color indexed="81"/>
            <rFont val="Tahoma"/>
            <family val="2"/>
          </rPr>
          <t>Sem emissões de GEE da produção do transporte</t>
        </r>
      </text>
    </comment>
    <comment ref="F182" authorId="0" shapeId="0" xr:uid="{3B4E993A-CB0D-4088-8C69-A9A5F575C953}">
      <text>
        <r>
          <rPr>
            <sz val="10"/>
            <color indexed="81"/>
            <rFont val="Tahoma"/>
            <family val="2"/>
          </rPr>
          <t>Com emissões de GEE da produção do transporte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tc={3C4C21E3-CC7F-446E-8895-7B1A16DD8479}</author>
    <author>Ana Rita Sampaio</author>
    <author>tc={FE7F05C8-D3DC-40F6-822D-5BD5DF02E401}</author>
  </authors>
  <commentList>
    <comment ref="B35" authorId="0" shapeId="0" xr:uid="{3C4C21E3-CC7F-446E-8895-7B1A16DD8479}">
      <text>
        <t>[Threaded comment]
Your version of Excel allows you to read this threaded comment; however, any edits to it will get removed if the file is opened in a newer version of Excel. Learn more: https://go.microsoft.com/fwlink/?linkid=870924
Comment:
    De acordo com os dados do INE: nr de veiculos? Fração de energia consumida?</t>
      </text>
    </comment>
    <comment ref="G46" authorId="1" shapeId="0" xr:uid="{3A53349E-CAB0-4D85-BF9F-0B6781CF1D89}">
      <text>
        <r>
          <rPr>
            <b/>
            <sz val="9"/>
            <color indexed="81"/>
            <rFont val="Tahoma"/>
            <family val="2"/>
          </rPr>
          <t>CP elétrico</t>
        </r>
      </text>
    </comment>
    <comment ref="C55" authorId="2" shapeId="0" xr:uid="{FE7F05C8-D3DC-40F6-822D-5BD5DF02E401}">
      <text>
        <t xml:space="preserve">[Threaded comment]
Your version of Excel allows you to read this threaded comment; however, any edits to it will get removed if the file is opened in a newer version of Excel. Learn more: https://go.microsoft.com/fwlink/?linkid=870924
Comment:
    Não estão a somar 100%
</t>
      </text>
    </comment>
    <comment ref="B57" authorId="1" shapeId="0" xr:uid="{221558FE-7706-4F01-BA69-43676512267F}">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58" authorId="1" shapeId="0" xr:uid="{FBAD0808-11F9-45B1-825D-308F3E7664E5}">
      <text>
        <r>
          <rPr>
            <sz val="9"/>
            <color indexed="81"/>
            <rFont val="Tahoma"/>
            <family val="2"/>
          </rPr>
          <t>Proporções retiradas de INE, 2023- estatisticas do transporte
Gasóleo-84%
Gas Natural- 16%</t>
        </r>
      </text>
    </comment>
    <comment ref="C58" authorId="1" shapeId="0" xr:uid="{216AC441-C702-46ED-9A48-B7AC59D3EEBC}">
      <text>
        <r>
          <rPr>
            <sz val="9"/>
            <color indexed="81"/>
            <rFont val="Tahoma"/>
            <family val="2"/>
          </rPr>
          <t xml:space="preserve">% deslocações AML (INE, 2017)
autocarro- 7,8%
</t>
        </r>
      </text>
    </comment>
    <comment ref="C59" authorId="1" shapeId="0" xr:uid="{3AAE1337-9FB4-445C-8BC2-77B0207CE190}">
      <text>
        <r>
          <rPr>
            <sz val="9"/>
            <color indexed="81"/>
            <rFont val="Tahoma"/>
            <family val="2"/>
          </rPr>
          <t>% deslocações AML (INE, 2017)
autocarro- 3,1%</t>
        </r>
      </text>
    </comment>
    <comment ref="C60" authorId="1" shapeId="0" xr:uid="{71CF55A8-16C3-4CA5-AAD0-15043E3534F5}">
      <text>
        <r>
          <rPr>
            <sz val="9"/>
            <color indexed="81"/>
            <rFont val="Tahoma"/>
            <family val="2"/>
          </rPr>
          <t>% deslocações AML (INE, 2017)
autocarro- 3,2%</t>
        </r>
      </text>
    </comment>
    <comment ref="B64" authorId="1" shapeId="0" xr:uid="{C339DB39-9FFA-42F9-A89B-8DD668799B5A}">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65" authorId="1" shapeId="0" xr:uid="{A764254E-54D5-4446-932D-AE4ABB6FB992}">
      <text>
        <r>
          <rPr>
            <sz val="9"/>
            <color indexed="81"/>
            <rFont val="Tahoma"/>
            <family val="2"/>
          </rPr>
          <t>Proporções retiradas de INE, 2023- estatisticas do transporte
Gasóleo-84%
Gas Natural- 16%</t>
        </r>
      </text>
    </comment>
    <comment ref="B71" authorId="1" shapeId="0" xr:uid="{8FD61CCC-1DA4-433A-A76D-B3BAB290FF98}">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72" authorId="1" shapeId="0" xr:uid="{78B0A937-41E3-4A78-8637-395003A271B4}">
      <text>
        <r>
          <rPr>
            <sz val="9"/>
            <color indexed="81"/>
            <rFont val="Tahoma"/>
            <family val="2"/>
          </rPr>
          <t>Proporções retiradas de INE, 2023- estatisticas do transporte
Gasóleo-84%
Gas Natural- 16%</t>
        </r>
      </text>
    </comment>
    <comment ref="G100" authorId="1" shapeId="0" xr:uid="{AF0D0751-AC60-4188-982A-CDC74EBF9C55}">
      <text>
        <r>
          <rPr>
            <b/>
            <sz val="9"/>
            <color indexed="81"/>
            <rFont val="Tahoma"/>
            <family val="2"/>
          </rPr>
          <t>Ana Rita Sampaio:</t>
        </r>
        <r>
          <rPr>
            <sz val="9"/>
            <color indexed="81"/>
            <rFont val="Tahoma"/>
            <family val="2"/>
          </rPr>
          <t xml:space="preserve">
tenho dúvidas qto a este FE. Pode estar enviezado pela utilização.</t>
        </r>
      </text>
    </comment>
    <comment ref="B105" authorId="1" shapeId="0" xr:uid="{C0B4A174-384A-4A50-B5BD-865F2D9E6A42}">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106" authorId="1" shapeId="0" xr:uid="{18D395A6-6838-4042-AE7A-E6C819735C5E}">
      <text>
        <r>
          <rPr>
            <sz val="9"/>
            <color indexed="81"/>
            <rFont val="Tahoma"/>
            <family val="2"/>
          </rPr>
          <t>Proporções retiradas de INE, 2023- estatisticas do transporte
Gasóleo-84%
Gas Natural- 16%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C24" authorId="0" shapeId="0" xr:uid="{BACDEBFC-521B-4C75-83ED-4851D53487C1}">
      <text>
        <r>
          <rPr>
            <sz val="12"/>
            <color indexed="81"/>
            <rFont val="Tahoma"/>
            <family val="2"/>
          </rPr>
          <t>Minibus: &lt; 40 passageiros</t>
        </r>
      </text>
    </comment>
    <comment ref="C27" authorId="0" shapeId="0" xr:uid="{6547F538-86F5-4815-A12E-B635F9AE94FD}">
      <text>
        <r>
          <rPr>
            <sz val="12"/>
            <color indexed="81"/>
            <rFont val="Tahoma"/>
            <family val="2"/>
          </rPr>
          <t xml:space="preserve"> Autocarro Standard: &lt; 85 passageiros</t>
        </r>
      </text>
    </comment>
    <comment ref="C30" authorId="0" shapeId="0" xr:uid="{E4620592-3AA3-42CA-87DD-3109C41E5516}">
      <text>
        <r>
          <rPr>
            <sz val="12"/>
            <color indexed="81"/>
            <rFont val="Tahoma"/>
            <family val="2"/>
          </rPr>
          <t>Autocarros Articulados/ BRTs: &lt;130 passageiros</t>
        </r>
      </text>
    </comment>
    <comment ref="F40" authorId="0" shapeId="0" xr:uid="{AFFBA6B2-2041-4729-8A6D-9051967A447E}">
      <text>
        <r>
          <rPr>
            <sz val="12"/>
            <color indexed="81"/>
            <rFont val="Tahoma"/>
            <family val="2"/>
          </rPr>
          <t>NUTS 2024: AML corresponde à NUT II  e NUT III Grande Lisboa e Peninsula de Setúbal.</t>
        </r>
      </text>
    </comment>
    <comment ref="C43" authorId="0" shapeId="0" xr:uid="{AF5EA652-5D91-4D24-B876-D0871CD47937}">
      <text>
        <r>
          <rPr>
            <sz val="10"/>
            <color indexed="81"/>
            <rFont val="Tahoma"/>
            <family val="2"/>
          </rPr>
          <t>Exemplos: iluminação urbana; unidades de ar condicionado.</t>
        </r>
      </text>
    </comment>
    <comment ref="C45" authorId="0" shapeId="0" xr:uid="{857BA7FF-75C1-4C9F-8309-5D5558E9332F}">
      <text>
        <r>
          <rPr>
            <sz val="12"/>
            <color indexed="81"/>
            <rFont val="Tahoma"/>
            <family val="2"/>
          </rPr>
          <t>Minibus: &lt; 40 passageiros</t>
        </r>
      </text>
    </comment>
    <comment ref="C48" authorId="0" shapeId="0" xr:uid="{57536ED5-15A0-478D-ABB2-F457A8A9E995}">
      <text>
        <r>
          <rPr>
            <sz val="12"/>
            <color indexed="81"/>
            <rFont val="Tahoma"/>
            <family val="2"/>
          </rPr>
          <t>Minibus: &lt; 40 passageiros</t>
        </r>
      </text>
    </comment>
    <comment ref="C51" authorId="0" shapeId="0" xr:uid="{C77822D0-8113-4D93-9460-B82B8DE828E4}">
      <text>
        <r>
          <rPr>
            <sz val="12"/>
            <color indexed="81"/>
            <rFont val="Tahoma"/>
            <family val="2"/>
          </rPr>
          <t xml:space="preserve"> Autocarro Standard: &lt; 85 passageiros</t>
        </r>
        <r>
          <rPr>
            <b/>
            <sz val="9"/>
            <color indexed="81"/>
            <rFont val="Tahoma"/>
            <family val="2"/>
          </rPr>
          <t xml:space="preserve">
</t>
        </r>
        <r>
          <rPr>
            <sz val="11"/>
            <color indexed="81"/>
            <rFont val="Tahoma"/>
            <family val="2"/>
          </rPr>
          <t>Autocarros elétricos (incluindo hidrogénio</t>
        </r>
      </text>
    </comment>
    <comment ref="C54" authorId="0" shapeId="0" xr:uid="{67FF29DE-238D-4053-AF75-2D6DB290466F}">
      <text>
        <r>
          <rPr>
            <sz val="12"/>
            <color indexed="81"/>
            <rFont val="Tahoma"/>
            <family val="2"/>
          </rPr>
          <t xml:space="preserve"> Autocarro Standard: &lt; 85 passageiros</t>
        </r>
      </text>
    </comment>
    <comment ref="C57" authorId="0" shapeId="0" xr:uid="{BFCC6BE6-A929-4C0A-BA18-9608416A89C4}">
      <text>
        <r>
          <rPr>
            <sz val="12"/>
            <color indexed="81"/>
            <rFont val="Tahoma"/>
            <family val="2"/>
          </rPr>
          <t>Autocarros Articulados/ BRTs: &lt;130 passageiros
Autocarros elétricos (incluindo hidrogénio)</t>
        </r>
      </text>
    </comment>
    <comment ref="C60" authorId="0" shapeId="0" xr:uid="{1D1A468D-20C7-4BF4-AA99-FC094905A06F}">
      <text>
        <r>
          <rPr>
            <sz val="12"/>
            <color indexed="81"/>
            <rFont val="Tahoma"/>
            <family val="2"/>
          </rPr>
          <t>Autocarros Articulados/ BRTs: &lt;130 passageiros</t>
        </r>
      </text>
    </comment>
    <comment ref="C76" authorId="0" shapeId="0" xr:uid="{D3853E3E-A754-41C6-8113-DE298171E0D7}">
      <text>
        <r>
          <rPr>
            <sz val="12"/>
            <color indexed="81"/>
            <rFont val="Tahoma"/>
            <family val="2"/>
          </rPr>
          <t>Minibus: &lt; 40 passageiros</t>
        </r>
      </text>
    </comment>
    <comment ref="C82" authorId="0" shapeId="0" xr:uid="{B194BDC0-61AC-4E45-86DC-882A4C3328EB}">
      <text>
        <r>
          <rPr>
            <sz val="12"/>
            <color indexed="81"/>
            <rFont val="Tahoma"/>
            <family val="2"/>
          </rPr>
          <t>Minibus: &lt; 40 passageiros</t>
        </r>
      </text>
    </comment>
    <comment ref="C88" authorId="0" shapeId="0" xr:uid="{9713DE6B-8D1E-4A5B-B70D-3F1C6CDF765E}">
      <text>
        <r>
          <rPr>
            <sz val="12"/>
            <color indexed="81"/>
            <rFont val="Tahoma"/>
            <family val="2"/>
          </rPr>
          <t xml:space="preserve"> Autocarro Standard: &lt; 85 passageiros</t>
        </r>
      </text>
    </comment>
    <comment ref="C94" authorId="0" shapeId="0" xr:uid="{B0D2D1E0-3CA7-4EE2-B113-E55741F80278}">
      <text>
        <r>
          <rPr>
            <sz val="12"/>
            <color indexed="81"/>
            <rFont val="Tahoma"/>
            <family val="2"/>
          </rPr>
          <t xml:space="preserve"> Autocarro Standard: &lt; 85 passageiros</t>
        </r>
      </text>
    </comment>
    <comment ref="C100" authorId="0" shapeId="0" xr:uid="{6092E4F7-69A4-48B7-98C1-677409957290}">
      <text>
        <r>
          <rPr>
            <sz val="12"/>
            <color indexed="81"/>
            <rFont val="Tahoma"/>
            <family val="2"/>
          </rPr>
          <t>Autocarros Articulados/ BRTs: &lt;130 passageiros</t>
        </r>
      </text>
    </comment>
    <comment ref="C106" authorId="0" shapeId="0" xr:uid="{540D43CF-1994-490F-AFC5-172C878E206B}">
      <text>
        <r>
          <rPr>
            <sz val="12"/>
            <color indexed="81"/>
            <rFont val="Tahoma"/>
            <family val="2"/>
          </rPr>
          <t>Autocarros Articulados/ BRTs: &lt;130 passageiros</t>
        </r>
      </text>
    </comment>
    <comment ref="E122" authorId="0" shapeId="0" xr:uid="{6DAD698A-7CB5-4B11-99E4-C4E78D62E442}">
      <text>
        <r>
          <rPr>
            <sz val="10"/>
            <color indexed="81"/>
            <rFont val="Tahoma"/>
            <family val="2"/>
          </rPr>
          <t>Sem emissões de GEE da produção do transporte</t>
        </r>
      </text>
    </comment>
    <comment ref="F122" authorId="0" shapeId="0" xr:uid="{E67988FA-BEF2-45DE-8316-C0D23788D781}">
      <text>
        <r>
          <rPr>
            <sz val="10"/>
            <color indexed="81"/>
            <rFont val="Tahoma"/>
            <family val="2"/>
          </rPr>
          <t>Com emissões de GEE da produção do transporte</t>
        </r>
      </text>
    </comment>
    <comment ref="C123" authorId="0" shapeId="0" xr:uid="{B0E5FCE9-6C6D-44A9-BB55-3452C73E03C8}">
      <text>
        <r>
          <rPr>
            <b/>
            <sz val="11"/>
            <color indexed="81"/>
            <rFont val="Tahoma"/>
            <family val="2"/>
          </rPr>
          <t xml:space="preserve">Interpretação de resultados (emissões relativas = Re= Ab-Be):
</t>
        </r>
        <r>
          <rPr>
            <sz val="11"/>
            <color indexed="81"/>
            <rFont val="Tahoma"/>
            <family val="2"/>
          </rPr>
          <t>(A)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26" authorId="0" shapeId="0" xr:uid="{F58614A0-3F5B-4EAF-B669-2A729231DCFA}">
      <text>
        <r>
          <rPr>
            <b/>
            <sz val="11"/>
            <color indexed="81"/>
            <rFont val="Tahoma"/>
            <family val="2"/>
          </rPr>
          <t>Interpretação dos resultados (emissões evitadas = - Re= Be- Ab)</t>
        </r>
        <r>
          <rPr>
            <sz val="11"/>
            <color indexed="81"/>
            <rFont val="Tahoma"/>
            <family val="2"/>
          </rPr>
          <t xml:space="preserve">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E133" authorId="0" shapeId="0" xr:uid="{8A57CCAC-772E-45DB-B9D2-D56E3CD943C4}">
      <text>
        <r>
          <rPr>
            <sz val="10"/>
            <color indexed="81"/>
            <rFont val="Tahoma"/>
            <family val="2"/>
          </rPr>
          <t>Sem emissões de GEE da produção do transporte</t>
        </r>
      </text>
    </comment>
    <comment ref="F133" authorId="0" shapeId="0" xr:uid="{428EF28E-E0B9-4A63-AFCA-27221F39A042}">
      <text>
        <r>
          <rPr>
            <sz val="10"/>
            <color indexed="81"/>
            <rFont val="Tahoma"/>
            <family val="2"/>
          </rPr>
          <t>Com emissões de GEE da produção do transporte</t>
        </r>
      </text>
    </comment>
    <comment ref="E137" authorId="0" shapeId="0" xr:uid="{85CAE789-77A8-46CA-8883-ED60478A1A95}">
      <text>
        <r>
          <rPr>
            <sz val="10"/>
            <color indexed="81"/>
            <rFont val="Tahoma"/>
            <family val="2"/>
          </rPr>
          <t>Sem emissões de GEE da produção do transporte</t>
        </r>
      </text>
    </comment>
    <comment ref="F137" authorId="0" shapeId="0" xr:uid="{733E5EF9-A024-4FA0-BA8E-E793FF0A5F41}">
      <text>
        <r>
          <rPr>
            <sz val="10"/>
            <color indexed="81"/>
            <rFont val="Tahoma"/>
            <family val="2"/>
          </rPr>
          <t>Com emissões de GEE da produção do transporte</t>
        </r>
      </text>
    </comment>
    <comment ref="E141" authorId="0" shapeId="0" xr:uid="{281228EB-8072-4724-A226-D522F6F273B6}">
      <text>
        <r>
          <rPr>
            <sz val="10"/>
            <color indexed="81"/>
            <rFont val="Tahoma"/>
            <family val="2"/>
          </rPr>
          <t>Sem emissões de GEE da produção do transporte</t>
        </r>
      </text>
    </comment>
    <comment ref="F141" authorId="0" shapeId="0" xr:uid="{03E091A5-8D27-468E-92D5-D2F3BFAB831B}">
      <text>
        <r>
          <rPr>
            <sz val="10"/>
            <color indexed="81"/>
            <rFont val="Tahoma"/>
            <family val="2"/>
          </rPr>
          <t>Com emissões de GEE da produção do transporte</t>
        </r>
      </text>
    </comment>
    <comment ref="E145" authorId="0" shapeId="0" xr:uid="{9A079C25-57AA-4EAB-B032-A712BBE9E261}">
      <text>
        <r>
          <rPr>
            <sz val="10"/>
            <color indexed="81"/>
            <rFont val="Tahoma"/>
            <family val="2"/>
          </rPr>
          <t>Sem emissões de GEE da produção do transporte</t>
        </r>
      </text>
    </comment>
    <comment ref="F145" authorId="0" shapeId="0" xr:uid="{366B00F4-6F2F-4180-BC21-B8E93074F9D5}">
      <text>
        <r>
          <rPr>
            <sz val="10"/>
            <color indexed="81"/>
            <rFont val="Tahoma"/>
            <family val="2"/>
          </rPr>
          <t>Com emissões de GEE da produção do transporte</t>
        </r>
      </text>
    </comment>
    <comment ref="E149" authorId="0" shapeId="0" xr:uid="{00C2AE4D-A7E0-4C92-8D81-069F76656E96}">
      <text>
        <r>
          <rPr>
            <sz val="10"/>
            <color indexed="81"/>
            <rFont val="Tahoma"/>
            <family val="2"/>
          </rPr>
          <t>Sem emissões de GEE da produção do transporte</t>
        </r>
      </text>
    </comment>
    <comment ref="F149" authorId="0" shapeId="0" xr:uid="{D679E0A8-BDB2-4747-98BC-4893C7B43DDC}">
      <text>
        <r>
          <rPr>
            <sz val="10"/>
            <color indexed="81"/>
            <rFont val="Tahoma"/>
            <family val="2"/>
          </rPr>
          <t>Com emissões de GEE da produção do transporte</t>
        </r>
      </text>
    </comment>
    <comment ref="E153" authorId="0" shapeId="0" xr:uid="{D7252008-4CEA-43CB-BE3F-409354A1DF86}">
      <text>
        <r>
          <rPr>
            <sz val="10"/>
            <color indexed="81"/>
            <rFont val="Tahoma"/>
            <family val="2"/>
          </rPr>
          <t>Sem emissões de GEE da produção do transporte</t>
        </r>
      </text>
    </comment>
    <comment ref="F153" authorId="0" shapeId="0" xr:uid="{5A56C5A7-8810-40E3-B908-AE0DD104B2CE}">
      <text>
        <r>
          <rPr>
            <sz val="10"/>
            <color indexed="81"/>
            <rFont val="Tahoma"/>
            <family val="2"/>
          </rPr>
          <t>Com emissões de GEE da produção do transporte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D43" authorId="0" shapeId="0" xr:uid="{D8253F29-98DD-4E9A-AAB7-DAF7766B7147}">
      <text>
        <r>
          <rPr>
            <sz val="10"/>
            <color indexed="81"/>
            <rFont val="Tahoma"/>
            <family val="2"/>
          </rPr>
          <t xml:space="preserve">NUTS 2024: 
AML corresponde à NUT II  e NUT III Grande Lisboa e Peninsula de Setúbal.
</t>
        </r>
        <r>
          <rPr>
            <sz val="9"/>
            <color indexed="81"/>
            <rFont val="Tahoma"/>
            <family val="2"/>
          </rPr>
          <t xml:space="preserve">
</t>
        </r>
        <r>
          <rPr>
            <b/>
            <sz val="9"/>
            <color indexed="81"/>
            <rFont val="Tahoma"/>
            <family val="2"/>
          </rPr>
          <t xml:space="preserve">
</t>
        </r>
      </text>
    </comment>
    <comment ref="D44" authorId="0" shapeId="0" xr:uid="{E90CDDEF-8D2C-49F1-A957-C9D320257A9D}">
      <text>
        <r>
          <rPr>
            <sz val="10"/>
            <color indexed="81"/>
            <rFont val="Tahoma"/>
            <family val="2"/>
          </rPr>
          <t>NUTS 2024: 
AML corresponde à NUT II  e NUT III Grande Lisboa e Peninsula de Setúbal.</t>
        </r>
      </text>
    </comment>
    <comment ref="C47" authorId="0" shapeId="0" xr:uid="{34BD5655-2E36-43FD-B3E1-290470F1C8A3}">
      <text>
        <r>
          <rPr>
            <sz val="10"/>
            <color indexed="81"/>
            <rFont val="Tahoma"/>
            <family val="2"/>
          </rPr>
          <t>Exemplos: iluminação; unidades de ar condicionado.</t>
        </r>
      </text>
    </comment>
    <comment ref="C49" authorId="0" shapeId="0" xr:uid="{0237F4E2-5B62-4461-B6CA-BB11D298DCF8}">
      <text>
        <r>
          <rPr>
            <sz val="12"/>
            <color indexed="81"/>
            <rFont val="Tahoma"/>
            <family val="2"/>
          </rPr>
          <t>Comboios movidos a eletricidade</t>
        </r>
      </text>
    </comment>
    <comment ref="C79" authorId="0" shapeId="0" xr:uid="{1C2A6564-B833-4340-97A5-43895D5648CE}">
      <text>
        <r>
          <rPr>
            <sz val="12"/>
            <color indexed="81"/>
            <rFont val="Tahoma"/>
            <family val="2"/>
          </rPr>
          <t>Comboios movidos a eletricidade</t>
        </r>
      </text>
    </comment>
    <comment ref="E128" authorId="0" shapeId="0" xr:uid="{24935F53-9F20-4695-992B-367B9AE68669}">
      <text>
        <r>
          <rPr>
            <sz val="10"/>
            <color indexed="81"/>
            <rFont val="Tahoma"/>
            <family val="2"/>
          </rPr>
          <t>Sem emissões de GEE da produção do transporte</t>
        </r>
      </text>
    </comment>
    <comment ref="F128" authorId="0" shapeId="0" xr:uid="{4E8E8DBF-6538-408D-9CC3-534F336EA1D2}">
      <text>
        <r>
          <rPr>
            <sz val="10"/>
            <color indexed="81"/>
            <rFont val="Tahoma"/>
            <family val="2"/>
          </rPr>
          <t>Com emissões de GEE da produção do transporte</t>
        </r>
      </text>
    </comment>
    <comment ref="C129" authorId="0" shapeId="0" xr:uid="{8461779B-EB8E-4055-AD17-DF375E2C6004}">
      <text>
        <r>
          <rPr>
            <b/>
            <sz val="11"/>
            <color indexed="81"/>
            <rFont val="Tahoma"/>
            <family val="2"/>
          </rPr>
          <t>Interpretação de resultados (emissões relativas = Re= Ab-Be):</t>
        </r>
        <r>
          <rPr>
            <sz val="11"/>
            <color indexed="81"/>
            <rFont val="Tahoma"/>
            <family val="2"/>
          </rPr>
          <t xml:space="preserv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32" authorId="0" shapeId="0" xr:uid="{649BA604-8A97-446B-B707-B641D5E5DA42}">
      <text>
        <r>
          <rPr>
            <b/>
            <sz val="11"/>
            <color indexed="81"/>
            <rFont val="Tahoma"/>
            <family val="2"/>
          </rPr>
          <t>Interpretação dos resultados (emissões evitadas = - Re= Be- Ab)</t>
        </r>
        <r>
          <rPr>
            <sz val="11"/>
            <color indexed="81"/>
            <rFont val="Tahoma"/>
            <family val="2"/>
          </rPr>
          <t xml:space="preserve">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C138" authorId="0" shapeId="0" xr:uid="{8F1CE78B-12D8-412D-ADB6-BBDFE74CF1A6}">
      <text>
        <r>
          <rPr>
            <sz val="12"/>
            <color indexed="81"/>
            <rFont val="Tahoma"/>
            <family val="2"/>
          </rPr>
          <t>Comboios movidos a eletricidade</t>
        </r>
      </text>
    </comment>
    <comment ref="E138" authorId="0" shapeId="0" xr:uid="{EE1A2A77-4C85-43AD-A029-D24993702F58}">
      <text>
        <r>
          <rPr>
            <sz val="10"/>
            <color indexed="81"/>
            <rFont val="Tahoma"/>
            <family val="2"/>
          </rPr>
          <t>Sem emissões de GEE da produção do transporte</t>
        </r>
      </text>
    </comment>
    <comment ref="F138" authorId="0" shapeId="0" xr:uid="{AD59F0C8-6ECD-4659-B7C9-ECA5FEF3F029}">
      <text>
        <r>
          <rPr>
            <sz val="10"/>
            <color indexed="81"/>
            <rFont val="Tahoma"/>
            <family val="2"/>
          </rPr>
          <t>Com emissões de GEE da produção do transporte</t>
        </r>
      </text>
    </comment>
    <comment ref="E142" authorId="0" shapeId="0" xr:uid="{11BF3F80-0086-430A-BCA2-D0509BCA8DF9}">
      <text>
        <r>
          <rPr>
            <sz val="10"/>
            <color indexed="81"/>
            <rFont val="Tahoma"/>
            <family val="2"/>
          </rPr>
          <t>Sem emissões de GEE da produção do transporte</t>
        </r>
      </text>
    </comment>
    <comment ref="F142" authorId="0" shapeId="0" xr:uid="{3C7E0A53-3F94-4DFE-9145-A8092119317B}">
      <text>
        <r>
          <rPr>
            <sz val="10"/>
            <color indexed="81"/>
            <rFont val="Tahoma"/>
            <family val="2"/>
          </rPr>
          <t>Com emissões de GEE da produção do transporte</t>
        </r>
      </text>
    </comment>
    <comment ref="E146" authorId="0" shapeId="0" xr:uid="{03096B22-10D6-430F-8062-4859FF40ED6B}">
      <text>
        <r>
          <rPr>
            <sz val="10"/>
            <color indexed="81"/>
            <rFont val="Tahoma"/>
            <family val="2"/>
          </rPr>
          <t>Sem emissões de GEE da produção do transporte</t>
        </r>
      </text>
    </comment>
    <comment ref="F146" authorId="0" shapeId="0" xr:uid="{A57759E0-4D56-4063-BACE-1F8822EEF1C5}">
      <text>
        <r>
          <rPr>
            <sz val="10"/>
            <color indexed="81"/>
            <rFont val="Tahoma"/>
            <family val="2"/>
          </rPr>
          <t>Com emissões de GEE da produção do transporte</t>
        </r>
      </text>
    </comment>
    <comment ref="E150" authorId="0" shapeId="0" xr:uid="{BED57162-73E8-4477-9FB7-407D2D0ABF6F}">
      <text>
        <r>
          <rPr>
            <sz val="10"/>
            <color indexed="81"/>
            <rFont val="Tahoma"/>
            <family val="2"/>
          </rPr>
          <t>Sem emissões de GEE da produção do transporte</t>
        </r>
      </text>
    </comment>
    <comment ref="F150" authorId="0" shapeId="0" xr:uid="{2E49A007-BA5B-4C44-BC0C-000785B7345B}">
      <text>
        <r>
          <rPr>
            <sz val="10"/>
            <color indexed="81"/>
            <rFont val="Tahoma"/>
            <family val="2"/>
          </rPr>
          <t>Com emissões de GEE da produção do transporte</t>
        </r>
      </text>
    </comment>
    <comment ref="E154" authorId="0" shapeId="0" xr:uid="{87D37C3F-7910-48C8-8EF1-E6B99351EA6E}">
      <text>
        <r>
          <rPr>
            <sz val="10"/>
            <color indexed="81"/>
            <rFont val="Tahoma"/>
            <family val="2"/>
          </rPr>
          <t>Sem emissões de GEE da produção do transporte</t>
        </r>
      </text>
    </comment>
    <comment ref="F154" authorId="0" shapeId="0" xr:uid="{84D61298-1113-46CF-8FCC-5E564F51CFE8}">
      <text>
        <r>
          <rPr>
            <sz val="10"/>
            <color indexed="81"/>
            <rFont val="Tahoma"/>
            <family val="2"/>
          </rPr>
          <t>Com emissões de GEE da produção do transporte</t>
        </r>
      </text>
    </comment>
    <comment ref="E158" authorId="0" shapeId="0" xr:uid="{AC09A883-E495-469D-AB06-8C3DF5E0DF19}">
      <text>
        <r>
          <rPr>
            <sz val="10"/>
            <color indexed="81"/>
            <rFont val="Tahoma"/>
            <family val="2"/>
          </rPr>
          <t>Sem emissões de GEE da produção do transporte</t>
        </r>
      </text>
    </comment>
    <comment ref="F158" authorId="0" shapeId="0" xr:uid="{1E054D56-F197-4FF8-AC23-4AEF8FF87A8A}">
      <text>
        <r>
          <rPr>
            <sz val="10"/>
            <color indexed="81"/>
            <rFont val="Tahoma"/>
            <family val="2"/>
          </rPr>
          <t>Com emissões de GEE da produção do transporte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tc={5E063AF3-8001-44B0-92A8-B24691D8F44E}</author>
    <author>tc={6475BE41-950B-40C2-8497-9C5A3223F1B3}</author>
    <author>Ana Rita Sampaio</author>
    <author>tc={E6523AC6-E7FA-4DD3-9F09-E338B95FB770}</author>
  </authors>
  <commentList>
    <comment ref="N9" authorId="0" shapeId="0" xr:uid="{5E063AF3-8001-44B0-92A8-B24691D8F44E}">
      <text>
        <t>[Threaded comment]
Your version of Excel allows you to read this threaded comment; however, any edits to it will get removed if the file is opened in a newer version of Excel. Learn more: https://go.microsoft.com/fwlink/?linkid=870924
Comment:
    As contas aqui não parecem bem</t>
      </text>
    </comment>
    <comment ref="B37" authorId="1" shapeId="0" xr:uid="{6475BE41-950B-40C2-8497-9C5A3223F1B3}">
      <text>
        <t>[Threaded comment]
Your version of Excel allows you to read this threaded comment; however, any edits to it will get removed if the file is opened in a newer version of Excel. Learn more: https://go.microsoft.com/fwlink/?linkid=870924
Comment:
    De acordo com os dados do INE: nr de veiculos? Fração de energia consumida?</t>
      </text>
    </comment>
    <comment ref="G48" authorId="2" shapeId="0" xr:uid="{6AC0BF48-654C-4472-9A2B-9637DB8C468F}">
      <text>
        <r>
          <rPr>
            <b/>
            <sz val="9"/>
            <color indexed="81"/>
            <rFont val="Tahoma"/>
            <family val="2"/>
          </rPr>
          <t>CP elétrico</t>
        </r>
      </text>
    </comment>
    <comment ref="C54" authorId="3" shapeId="0" xr:uid="{E6523AC6-E7FA-4DD3-9F09-E338B95FB770}">
      <text>
        <t xml:space="preserve">[Threaded comment]
Your version of Excel allows you to read this threaded comment; however, any edits to it will get removed if the file is opened in a newer version of Excel. Learn more: https://go.microsoft.com/fwlink/?linkid=870924
Comment:
    Não estão a somar 100%
</t>
      </text>
    </comment>
    <comment ref="B55" authorId="2" shapeId="0" xr:uid="{35756C03-4CE0-4964-96C6-C1D59DCBCD6C}">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C56" authorId="2" shapeId="0" xr:uid="{B193FA5D-51B2-4C63-A8D2-6EBD76E70C9C}">
      <text>
        <r>
          <rPr>
            <sz val="9"/>
            <color indexed="81"/>
            <rFont val="Tahoma"/>
            <family val="2"/>
          </rPr>
          <t>% deslocações AML (INE, 2017)
autocarro- 3,1%</t>
        </r>
      </text>
    </comment>
    <comment ref="C57" authorId="2" shapeId="0" xr:uid="{194F325E-4F68-48D7-A87F-C8349C910FAE}">
      <text>
        <r>
          <rPr>
            <sz val="9"/>
            <color indexed="81"/>
            <rFont val="Tahoma"/>
            <family val="2"/>
          </rPr>
          <t>% deslocações AML (INE, 2017)
autocarro- 3,2%</t>
        </r>
      </text>
    </comment>
    <comment ref="B61" authorId="2" shapeId="0" xr:uid="{98FD923E-F35F-441A-9B80-2201D437BA5B}">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67" authorId="2" shapeId="0" xr:uid="{608D015E-D339-477F-968A-24C41878E9A5}">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97" authorId="2" shapeId="0" xr:uid="{27EBF6C0-716A-469A-A525-5A6330BB4DEB}">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tc={71B90404-3B8A-4985-B586-0740D58446ED}</author>
    <author>tc={5AEF9992-66CD-4B04-9562-DD197F5D1CE6}</author>
    <author>Ana Rita Sampaio</author>
    <author>tc={F8CBAFC5-09CA-4CD1-816C-82BB88FD9323}</author>
  </authors>
  <commentList>
    <comment ref="N8" authorId="0" shapeId="0" xr:uid="{71B90404-3B8A-4985-B586-0740D58446ED}">
      <text>
        <t>[Threaded comment]
Your version of Excel allows you to read this threaded comment; however, any edits to it will get removed if the file is opened in a newer version of Excel. Learn more: https://go.microsoft.com/fwlink/?linkid=870924
Comment:
    As contas aqui não parecem bem</t>
      </text>
    </comment>
    <comment ref="B37" authorId="1" shapeId="0" xr:uid="{5AEF9992-66CD-4B04-9562-DD197F5D1CE6}">
      <text>
        <t>[Threaded comment]
Your version of Excel allows you to read this threaded comment; however, any edits to it will get removed if the file is opened in a newer version of Excel. Learn more: https://go.microsoft.com/fwlink/?linkid=870924
Comment:
    De acordo com os dados do INE: nr de veiculos? Fração de energia consumida?</t>
      </text>
    </comment>
    <comment ref="G48" authorId="2" shapeId="0" xr:uid="{B5C33774-DF7B-4316-859E-A71428C9018B}">
      <text>
        <r>
          <rPr>
            <b/>
            <sz val="9"/>
            <color indexed="81"/>
            <rFont val="Tahoma"/>
            <family val="2"/>
          </rPr>
          <t>CP elétrico</t>
        </r>
      </text>
    </comment>
    <comment ref="C53" authorId="3" shapeId="0" xr:uid="{F8CBAFC5-09CA-4CD1-816C-82BB88FD9323}">
      <text>
        <t xml:space="preserve">[Threaded comment]
Your version of Excel allows you to read this threaded comment; however, any edits to it will get removed if the file is opened in a newer version of Excel. Learn more: https://go.microsoft.com/fwlink/?linkid=870924
Comment:
    Não estão a somar 100%
</t>
      </text>
    </comment>
    <comment ref="B54" authorId="2" shapeId="0" xr:uid="{E4BF1EE5-2385-41F6-A321-3A1F019A273F}">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C56" authorId="2" shapeId="0" xr:uid="{CC5164E8-4206-463F-9B98-0DD84459EFCB}">
      <text>
        <r>
          <rPr>
            <sz val="9"/>
            <color indexed="81"/>
            <rFont val="Tahoma"/>
            <family val="2"/>
          </rPr>
          <t>% deslocações AML (INE, 2017)
autocarro- 3,1%</t>
        </r>
      </text>
    </comment>
    <comment ref="C57" authorId="2" shapeId="0" xr:uid="{CB7BA1A5-BD1F-468F-8833-5166B458C667}">
      <text>
        <r>
          <rPr>
            <sz val="9"/>
            <color indexed="81"/>
            <rFont val="Tahoma"/>
            <family val="2"/>
          </rPr>
          <t>% deslocações AML (INE, 2017)
autocarro- 3,2%</t>
        </r>
      </text>
    </comment>
    <comment ref="B62" authorId="2" shapeId="0" xr:uid="{9D98859F-0A0D-4997-982F-BB23BF0CF09B}">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70" authorId="2" shapeId="0" xr:uid="{4D0CCA13-F2B1-49E6-96B4-AE85DBA64213}">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101" authorId="2" shapeId="0" xr:uid="{E36AA7A8-2F79-40D5-A129-725600D5EE47}">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I113" authorId="2" shapeId="0" xr:uid="{9D52D1C5-497C-48D8-AEF2-B76555DAF718}">
      <text>
        <r>
          <rPr>
            <sz val="10"/>
            <color indexed="81"/>
            <rFont val="Tahoma"/>
            <family val="2"/>
          </rPr>
          <t>Sem emissões de GEE da produção do transporte</t>
        </r>
      </text>
    </comment>
    <comment ref="J113" authorId="2" shapeId="0" xr:uid="{9B140BE2-AF99-44F5-9434-3DFADFF596E1}">
      <text>
        <r>
          <rPr>
            <sz val="10"/>
            <color indexed="81"/>
            <rFont val="Tahoma"/>
            <family val="2"/>
          </rPr>
          <t>Com emissões de GEE da produção do transporte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C38" authorId="0" shapeId="0" xr:uid="{9F1814B1-7F65-4AFC-9BD6-02A6583A1C4D}">
      <text>
        <r>
          <rPr>
            <sz val="10"/>
            <color indexed="81"/>
            <rFont val="Tahoma"/>
            <family val="2"/>
          </rPr>
          <t>Exemplos: iluminação; unidades de ar condicionado.</t>
        </r>
      </text>
    </comment>
    <comment ref="E78" authorId="0" shapeId="0" xr:uid="{C23227DA-8727-4FD6-9AAE-B91CBDFEE9D1}">
      <text>
        <r>
          <rPr>
            <sz val="10"/>
            <color indexed="81"/>
            <rFont val="Tahoma"/>
            <family val="2"/>
          </rPr>
          <t>Sem emissões de GEE da produção do transporte</t>
        </r>
      </text>
    </comment>
    <comment ref="F78" authorId="0" shapeId="0" xr:uid="{3CF53901-F6A4-4FC9-8608-F34724C30B2C}">
      <text>
        <r>
          <rPr>
            <sz val="10"/>
            <color indexed="81"/>
            <rFont val="Tahoma"/>
            <family val="2"/>
          </rPr>
          <t>Com emissões de GEE da produção do transporte</t>
        </r>
      </text>
    </comment>
    <comment ref="C79" authorId="0" shapeId="0" xr:uid="{494F5F86-A47D-44E3-A0B4-D2AA28F18882}">
      <text>
        <r>
          <rPr>
            <b/>
            <sz val="11"/>
            <color indexed="81"/>
            <rFont val="Tahoma"/>
            <family val="2"/>
          </rPr>
          <t>Interpretação de resultados (emissões relativas = Re= Ab-Be):</t>
        </r>
        <r>
          <rPr>
            <sz val="11"/>
            <color indexed="81"/>
            <rFont val="Tahoma"/>
            <family val="2"/>
          </rPr>
          <t xml:space="preserv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82" authorId="0" shapeId="0" xr:uid="{F9BBB9FD-9D16-40CD-864A-C720E76F4014}">
      <text>
        <r>
          <rPr>
            <b/>
            <sz val="11"/>
            <color indexed="81"/>
            <rFont val="Tahoma"/>
            <family val="2"/>
          </rPr>
          <t>Interpretação dos resultados (emissões evitadas = - Re= Be- Ab)</t>
        </r>
        <r>
          <rPr>
            <sz val="11"/>
            <color indexed="81"/>
            <rFont val="Tahoma"/>
            <family val="2"/>
          </rPr>
          <t xml:space="preserve">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E86" authorId="0" shapeId="0" xr:uid="{7FE27860-6ED7-4068-98B6-C9F127A3F548}">
      <text>
        <r>
          <rPr>
            <sz val="10"/>
            <color indexed="81"/>
            <rFont val="Tahoma"/>
            <family val="2"/>
          </rPr>
          <t>Sem emissões de GEE da produção do transporte</t>
        </r>
      </text>
    </comment>
    <comment ref="F86" authorId="0" shapeId="0" xr:uid="{1CD622CE-BC63-4652-8FD8-AB15313299EA}">
      <text>
        <r>
          <rPr>
            <sz val="10"/>
            <color indexed="81"/>
            <rFont val="Tahoma"/>
            <family val="2"/>
          </rPr>
          <t>Com emissões de GEE da produção do transporte</t>
        </r>
      </text>
    </comment>
    <comment ref="E90" authorId="0" shapeId="0" xr:uid="{6B6EFF7D-13B4-4437-8CE6-B73A3AD2A88E}">
      <text>
        <r>
          <rPr>
            <sz val="10"/>
            <color indexed="81"/>
            <rFont val="Tahoma"/>
            <family val="2"/>
          </rPr>
          <t>Sem emissões de GEE da produção do transporte</t>
        </r>
      </text>
    </comment>
    <comment ref="F90" authorId="0" shapeId="0" xr:uid="{4345633A-0245-45CD-A243-C83C94423CA6}">
      <text>
        <r>
          <rPr>
            <sz val="10"/>
            <color indexed="81"/>
            <rFont val="Tahoma"/>
            <family val="2"/>
          </rPr>
          <t>Com emissões de GEE da produção do transporte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<sst xmlns="http://schemas.openxmlformats.org/spreadsheetml/2006/main" count="4048" uniqueCount="1357">
  <si>
    <t>Orientações</t>
  </si>
  <si>
    <t>Nome do responsável:</t>
  </si>
  <si>
    <t>Energia</t>
  </si>
  <si>
    <t>Unidade</t>
  </si>
  <si>
    <t>Exploração</t>
  </si>
  <si>
    <t>Total</t>
  </si>
  <si>
    <t>-</t>
  </si>
  <si>
    <t>Modo de transporte</t>
  </si>
  <si>
    <t>Tipo</t>
  </si>
  <si>
    <t>kg/p.km</t>
  </si>
  <si>
    <t>Veículo ligeiro de passageiros</t>
  </si>
  <si>
    <t>Gasolina - motor desconhecido</t>
  </si>
  <si>
    <t>Gasóleo - motor desconhecido</t>
  </si>
  <si>
    <t>Híbrido - motor desconhecido</t>
  </si>
  <si>
    <t>GPL - motor de tamanho médio</t>
  </si>
  <si>
    <t>Mota</t>
  </si>
  <si>
    <t>Metro</t>
  </si>
  <si>
    <t>Nome da Projeto:</t>
  </si>
  <si>
    <t>Desativação</t>
  </si>
  <si>
    <t>Indique a data prevista para o início de cada uma destas fases e a duração das mesmas.</t>
  </si>
  <si>
    <t>Ano</t>
  </si>
  <si>
    <t>Conversão de unidades</t>
  </si>
  <si>
    <t>Nota: esta folha possui caráter exclusivamente informativo. Nenhuma informação desta folha é utilizada nos cálculos da ferramenta.</t>
  </si>
  <si>
    <t>Massa</t>
  </si>
  <si>
    <t>1 libra (lb)</t>
  </si>
  <si>
    <t>453,6 gramas (g)</t>
  </si>
  <si>
    <t>0,4536 quilograma (kg)</t>
  </si>
  <si>
    <t>0,0004536 tonelada métrica (t)</t>
  </si>
  <si>
    <t>1 quilograma (kg)</t>
  </si>
  <si>
    <t>2205 libras (lb)</t>
  </si>
  <si>
    <t>1 tonelada curta (T / ton)</t>
  </si>
  <si>
    <t>2000 libras (lb)</t>
  </si>
  <si>
    <t>907,2 quilogramas (kg)</t>
  </si>
  <si>
    <t>1 tonelada métrica (t)</t>
  </si>
  <si>
    <t>1000 quilogramas (kg)</t>
  </si>
  <si>
    <t>1,102 tonelada curta (T / ton)</t>
  </si>
  <si>
    <t>Volume</t>
  </si>
  <si>
    <t>7,4805 galões americanos (gal)</t>
  </si>
  <si>
    <t>0,1730 barril (bbl)</t>
  </si>
  <si>
    <t>28,32 litros (L)</t>
  </si>
  <si>
    <t>1 galão americano (gal)</t>
  </si>
  <si>
    <t>0,0238 barril (bbl)</t>
  </si>
  <si>
    <t>3,785 litros (L)</t>
  </si>
  <si>
    <t>1 barril (bbl)</t>
  </si>
  <si>
    <t>42 galões americanos (gal)</t>
  </si>
  <si>
    <t>158,9873 litros (L)</t>
  </si>
  <si>
    <t>1 litro (L)</t>
  </si>
  <si>
    <t>0,2642 galão americano (gal)</t>
  </si>
  <si>
    <t>6,2897 barris (bbl)</t>
  </si>
  <si>
    <t>264,2 galões americanos (gal)</t>
  </si>
  <si>
    <t>1000 litros (L)</t>
  </si>
  <si>
    <t>1 quilowatt hora (kWh)</t>
  </si>
  <si>
    <t>3412 Btu (Btu)</t>
  </si>
  <si>
    <t>3600 quilojoules (kJ)</t>
  </si>
  <si>
    <t>1 megajoule (MJ)</t>
  </si>
  <si>
    <t>0,001 gigajoule (GJ)</t>
  </si>
  <si>
    <t>1 gigajoule (GJ)</t>
  </si>
  <si>
    <t>0,9478 milhão de Btu (MMBtu)</t>
  </si>
  <si>
    <t>277,8 quilowatt horas (kWh)</t>
  </si>
  <si>
    <t>1 Btu (Btu)</t>
  </si>
  <si>
    <t>1055 joules (J)</t>
  </si>
  <si>
    <t>1 milhão de Btu (MBtu)</t>
  </si>
  <si>
    <t>1055 gigajoules (GJ)</t>
  </si>
  <si>
    <t>293 quilowatt horas (kWh)</t>
  </si>
  <si>
    <t>100 ft³ de gás natural (scf)</t>
  </si>
  <si>
    <t>100 000 Btu (Btu)</t>
  </si>
  <si>
    <t>Distância</t>
  </si>
  <si>
    <t>1 milha terrestre</t>
  </si>
  <si>
    <t>1,609 quilómetro terrestre</t>
  </si>
  <si>
    <t>1 milha náutica</t>
  </si>
  <si>
    <t>1,15 milha terrestre</t>
  </si>
  <si>
    <t>Outros</t>
  </si>
  <si>
    <t>quilo (k)</t>
  </si>
  <si>
    <t>mega (M)</t>
  </si>
  <si>
    <t>giga (G)</t>
  </si>
  <si>
    <t>tera (T)</t>
  </si>
  <si>
    <t>Peso molecular de C</t>
  </si>
  <si>
    <t>%</t>
  </si>
  <si>
    <t>Ano de Início</t>
  </si>
  <si>
    <t>(C) Atente-se para a utilização das unidades corretas nos dados inseridos. Se necessário, converta as unidades utilizando a Folha 'Fatores de Conversão' antes de preencher os campos.</t>
  </si>
  <si>
    <t>(D) O Menu de Navegação, presente na parte superior de todas as Folhas da Calculadora, pode ser utilizado para facilitar a navegação pela ferramenta.</t>
  </si>
  <si>
    <t>Fatores de Emissão</t>
  </si>
  <si>
    <t>Calculadora de GEE para projetos</t>
  </si>
  <si>
    <t>Sim</t>
  </si>
  <si>
    <t>Não</t>
  </si>
  <si>
    <t>Fonte</t>
  </si>
  <si>
    <t>Valor</t>
  </si>
  <si>
    <t>Duração em anos (a)</t>
  </si>
  <si>
    <t>Passo 1.    Indique a data e duração de cada fase do projeto, bem como o número de colaboradores total</t>
  </si>
  <si>
    <t>GNL</t>
  </si>
  <si>
    <r>
      <t xml:space="preserve">(A) </t>
    </r>
    <r>
      <rPr>
        <b/>
        <sz val="12"/>
        <rFont val="Calibri"/>
        <family val="2"/>
        <scheme val="minor"/>
      </rPr>
      <t xml:space="preserve">O primeiro passo para a utilização da ferramenta é a definição dos anos de início e da duração de cada fase do projeto (este último, se não souber, deixe por preencher). </t>
    </r>
    <r>
      <rPr>
        <sz val="12"/>
        <rFont val="Calibri"/>
        <family val="2"/>
        <scheme val="minor"/>
      </rPr>
      <t>Esta escolha é essencial, pois há fatores de emissão que variam com base nos anos escolhidos.</t>
    </r>
  </si>
  <si>
    <r>
      <t xml:space="preserve">(B) Preencha somente as Campos </t>
    </r>
    <r>
      <rPr>
        <b/>
        <sz val="12"/>
        <color theme="8"/>
        <rFont val="Calibri"/>
        <family val="2"/>
        <scheme val="minor"/>
      </rPr>
      <t>AZUL CLARO</t>
    </r>
    <r>
      <rPr>
        <sz val="12"/>
        <rFont val="Calibri"/>
        <family val="2"/>
        <scheme val="minor"/>
      </rPr>
      <t xml:space="preserve"> das Folhas da Ferramenta.</t>
    </r>
  </si>
  <si>
    <t>Data/Ano de preenchimento:</t>
  </si>
  <si>
    <t>Ficha técnica</t>
  </si>
  <si>
    <t>Autores</t>
  </si>
  <si>
    <t xml:space="preserve">Entidade Patronal: </t>
  </si>
  <si>
    <t>ADIST – Associação para o Desenvolvimento do Instituto Superior Técnico</t>
  </si>
  <si>
    <t>Título do documento</t>
  </si>
  <si>
    <t>Entidade Promotora</t>
  </si>
  <si>
    <t>Versão</t>
  </si>
  <si>
    <t>Publicação web</t>
  </si>
  <si>
    <t>Revisões</t>
  </si>
  <si>
    <t>V0</t>
  </si>
  <si>
    <r>
      <rPr>
        <b/>
        <sz val="12"/>
        <color theme="1"/>
        <rFont val="Calibri"/>
        <family val="2"/>
        <scheme val="minor"/>
      </rPr>
      <t>Tenha em atenção as unidades: a duração deve ser indicada em anos.</t>
    </r>
    <r>
      <rPr>
        <sz val="12"/>
        <color theme="1"/>
        <rFont val="Calibri"/>
        <family val="2"/>
        <scheme val="minor"/>
      </rPr>
      <t xml:space="preserve"> Se tiver a duração noutras unidades (ex.: meses) deverá converter para anos (ex.: numero de meses/12) antes de a introduzir na ferramenta </t>
    </r>
  </si>
  <si>
    <t>Data de conclusão</t>
  </si>
  <si>
    <t xml:space="preserve">Indique também o número de colaboradores que terá em média por ano em cada fase do projeto.  Inclua aqui mesmo os colaboradores subcontratados de outras empresas. Atenção que este valor refere-se à média e não ao valor total de colaboradores. Pode haver períodos no ano em que tenha mais colaboradores e outros períodos que tenha menos. Pretendemos obter aqui o valor médio. Por exemplo, se tiver 10 colaboradores que apenas trabalharão apenas 3 meses do ano, multiplique esse número de colaboradores por 3meses/11 meses de trabalho do ano. Este valor será usado para estimar as emissões de deslocação casa-trabalho efetuada por estes, considerando 2 viagens por dia, 22 dias por mês, 11 meses por ano, em meio de transporte e distâncias médias casa-trabalho obtidas dos Censos 2021. </t>
  </si>
  <si>
    <t>Número de colaboradores envolvidos em cada fase de projeto (média)</t>
  </si>
  <si>
    <t>Não aplicável</t>
  </si>
  <si>
    <t>INE</t>
  </si>
  <si>
    <t>e-bike</t>
  </si>
  <si>
    <t>modo pedonal</t>
  </si>
  <si>
    <t>Fonte:</t>
  </si>
  <si>
    <t xml:space="preserve"> </t>
  </si>
  <si>
    <t>Autocarros</t>
  </si>
  <si>
    <t>Indicadores</t>
  </si>
  <si>
    <t>Nº</t>
  </si>
  <si>
    <t>L</t>
  </si>
  <si>
    <t>kWh</t>
  </si>
  <si>
    <t>kWh/ ano</t>
  </si>
  <si>
    <t>kWh/ano</t>
  </si>
  <si>
    <t>p.km</t>
  </si>
  <si>
    <t>Equipa IST. FE calculado a partir de dados do INE (2022) e APA (2022)</t>
  </si>
  <si>
    <t>Nº de passageiros</t>
  </si>
  <si>
    <t>Ciclomotores (trotinetas, vespas) - categoria L</t>
  </si>
  <si>
    <t>Comboio de passageiros</t>
  </si>
  <si>
    <t>Gasóleo</t>
  </si>
  <si>
    <t>Observações</t>
  </si>
  <si>
    <t>Rede Nacional</t>
  </si>
  <si>
    <t>Produção de electricidade</t>
  </si>
  <si>
    <t>Autocarro</t>
  </si>
  <si>
    <t>Ferry</t>
  </si>
  <si>
    <t>Motociclo</t>
  </si>
  <si>
    <t>Bicicleta</t>
  </si>
  <si>
    <t>Ferry - bateria</t>
  </si>
  <si>
    <t>Comboio</t>
  </si>
  <si>
    <t>FE estimado a partir de dados do INE (2022) e APA (2022)</t>
  </si>
  <si>
    <r>
      <t>tCO</t>
    </r>
    <r>
      <rPr>
        <vertAlign val="subscript"/>
        <sz val="12"/>
        <color theme="1"/>
        <rFont val="Aptos"/>
        <family val="2"/>
      </rPr>
      <t>2eq</t>
    </r>
    <r>
      <rPr>
        <sz val="12"/>
        <color theme="1"/>
        <rFont val="Aptos"/>
        <family val="2"/>
      </rPr>
      <t>/ano</t>
    </r>
  </si>
  <si>
    <t>Nome do Projeto</t>
  </si>
  <si>
    <t>Código do Projeto</t>
  </si>
  <si>
    <t>Promotor</t>
  </si>
  <si>
    <t>Programa de Financiamento</t>
  </si>
  <si>
    <t>Dados do Projeto</t>
  </si>
  <si>
    <t>Tipo de Projeto</t>
  </si>
  <si>
    <t>Norte</t>
  </si>
  <si>
    <t>Centro</t>
  </si>
  <si>
    <t>Alentejo</t>
  </si>
  <si>
    <t>Selecionar uma opção</t>
  </si>
  <si>
    <t>Definir valor</t>
  </si>
  <si>
    <t xml:space="preserve">Data da avaliação </t>
  </si>
  <si>
    <t>km</t>
  </si>
  <si>
    <t>Opções</t>
  </si>
  <si>
    <t>Sim/não</t>
  </si>
  <si>
    <t>x</t>
  </si>
  <si>
    <t>Metropolitano</t>
  </si>
  <si>
    <t>comboio</t>
  </si>
  <si>
    <t>Minutos</t>
  </si>
  <si>
    <t>Automóvel</t>
  </si>
  <si>
    <t xml:space="preserve">Valor </t>
  </si>
  <si>
    <r>
      <rPr>
        <b/>
        <u/>
        <sz val="11"/>
        <color theme="1"/>
        <rFont val="Aptos"/>
        <family val="2"/>
      </rPr>
      <t>Fonte dos dados</t>
    </r>
    <r>
      <rPr>
        <b/>
        <sz val="11"/>
        <color theme="1"/>
        <rFont val="Aptos"/>
        <family val="2"/>
      </rPr>
      <t xml:space="preserve"> e </t>
    </r>
    <r>
      <rPr>
        <b/>
        <u/>
        <sz val="11"/>
        <color theme="1"/>
        <rFont val="Aptos"/>
        <family val="2"/>
      </rPr>
      <t>metodologia</t>
    </r>
    <r>
      <rPr>
        <b/>
        <sz val="11"/>
        <color theme="1"/>
        <rFont val="Aptos"/>
        <family val="2"/>
      </rPr>
      <t xml:space="preserve"> utilizada para estimar as transferências modais</t>
    </r>
  </si>
  <si>
    <t>3.3 Opção II - Definição dos tempos médios de viagem em movimentos pendulares</t>
  </si>
  <si>
    <t>Completar</t>
  </si>
  <si>
    <t>Modo Pedonal</t>
  </si>
  <si>
    <t xml:space="preserve">Tempo médio de viagem </t>
  </si>
  <si>
    <t>Tempo médio de viagem em hora de ponta (7 horas - 9 horas e 17 horas - 19 horas)</t>
  </si>
  <si>
    <t>Tempo médio de viagem em horário laboral (9 horas -17 horas)</t>
  </si>
  <si>
    <t>Tempo médio de viagem em horário laboral (9 horas - 17 horas)</t>
  </si>
  <si>
    <t>Tempos de viagem em movimentos pendulares</t>
  </si>
  <si>
    <t>Tempo médio de viagem em hora de ponta (7 horas- 9 horas e 17 horas - 19 horas) para deslocações até 10 km</t>
  </si>
  <si>
    <t>Tempo médio de viagem em horário laboral (9 horas - 17 horas) para deslocações até 10 km</t>
  </si>
  <si>
    <t>Ano de referência dos FE</t>
  </si>
  <si>
    <t xml:space="preserve">Elétricos </t>
  </si>
  <si>
    <t>autocarro</t>
  </si>
  <si>
    <t>automóvel</t>
  </si>
  <si>
    <t>M2 micromobilidade</t>
  </si>
  <si>
    <t>Nº total de deslocações de bicicleta/ motociclo/ trotineta anual</t>
  </si>
  <si>
    <t>Aplicar transferência modal referida no paper sobre a gira (</t>
  </si>
  <si>
    <t>modo pedonal (0  emissões)- incrementa as emissões nas BE, ME e TE</t>
  </si>
  <si>
    <t>Transferências Modais - Micromobilidade</t>
  </si>
  <si>
    <t>Qual a opção a utilizar para o cálculo das transferências modais?</t>
  </si>
  <si>
    <r>
      <rPr>
        <b/>
        <sz val="8"/>
        <color theme="1"/>
        <rFont val="Aptos"/>
        <family val="2"/>
      </rPr>
      <t>Iluminação:</t>
    </r>
    <r>
      <rPr>
        <sz val="8"/>
        <color theme="1"/>
        <rFont val="Aptos"/>
        <family val="2"/>
      </rPr>
      <t xml:space="preserve"> Consumo anual de electricidade num ano típico de operação</t>
    </r>
  </si>
  <si>
    <r>
      <rPr>
        <b/>
        <sz val="8"/>
        <color theme="1"/>
        <rFont val="Aptos"/>
        <family val="2"/>
      </rPr>
      <t>BC_Bicicletas não eléctricas</t>
    </r>
    <r>
      <rPr>
        <sz val="8"/>
        <color theme="1"/>
        <rFont val="Aptos"/>
        <family val="2"/>
      </rPr>
      <t>: número total de bicicletas em circulação previstas no projeto</t>
    </r>
  </si>
  <si>
    <r>
      <rPr>
        <b/>
        <sz val="8"/>
        <color theme="1"/>
        <rFont val="Aptos"/>
        <family val="2"/>
      </rPr>
      <t>BC_Bicicletas não eléctricas:</t>
    </r>
    <r>
      <rPr>
        <sz val="8"/>
        <color theme="1"/>
        <rFont val="Aptos"/>
        <family val="2"/>
      </rPr>
      <t xml:space="preserve"> Nº total de km percorridos por bicicleta num ano típico de funcionamento</t>
    </r>
  </si>
  <si>
    <r>
      <rPr>
        <b/>
        <sz val="8"/>
        <color theme="1"/>
        <rFont val="Aptos"/>
        <family val="2"/>
      </rPr>
      <t>BE_Bicicletas</t>
    </r>
    <r>
      <rPr>
        <sz val="8"/>
        <color theme="1"/>
        <rFont val="Aptos"/>
        <family val="2"/>
      </rPr>
      <t xml:space="preserve"> </t>
    </r>
    <r>
      <rPr>
        <b/>
        <sz val="8"/>
        <color theme="1"/>
        <rFont val="Aptos"/>
        <family val="2"/>
      </rPr>
      <t>eléctricas</t>
    </r>
    <r>
      <rPr>
        <sz val="8"/>
        <color theme="1"/>
        <rFont val="Aptos"/>
        <family val="2"/>
      </rPr>
      <t>: número total de bicicletas em circulação previstas no projeto</t>
    </r>
  </si>
  <si>
    <r>
      <rPr>
        <b/>
        <sz val="8"/>
        <color theme="1"/>
        <rFont val="Aptos"/>
        <family val="2"/>
      </rPr>
      <t>BE_Bicicletas eléctricas:</t>
    </r>
    <r>
      <rPr>
        <sz val="8"/>
        <color theme="1"/>
        <rFont val="Aptos"/>
        <family val="2"/>
      </rPr>
      <t xml:space="preserve"> Nº total de km percorridos por bicicleta num ano típico de funcionamento</t>
    </r>
  </si>
  <si>
    <r>
      <rPr>
        <b/>
        <sz val="8"/>
        <color theme="1"/>
        <rFont val="Aptos"/>
        <family val="2"/>
      </rPr>
      <t>ME_Motociclos eléctricos:</t>
    </r>
    <r>
      <rPr>
        <sz val="8"/>
        <color theme="1"/>
        <rFont val="Aptos"/>
        <family val="2"/>
      </rPr>
      <t xml:space="preserve"> número total de motociclos em circulação previstos no projeto</t>
    </r>
  </si>
  <si>
    <r>
      <rPr>
        <b/>
        <sz val="8"/>
        <color theme="1"/>
        <rFont val="Aptos"/>
        <family val="2"/>
      </rPr>
      <t>ME_Motociclos eléctricos:</t>
    </r>
    <r>
      <rPr>
        <sz val="8"/>
        <color theme="1"/>
        <rFont val="Aptos"/>
        <family val="2"/>
      </rPr>
      <t xml:space="preserve"> Nº total de km percorridos por bicicleta num ano típico de funcionamento</t>
    </r>
  </si>
  <si>
    <t>BC_Bicicletas não eléctricas</t>
  </si>
  <si>
    <t>BE_Bicicletas eléctricas</t>
  </si>
  <si>
    <t>ME_Motociclos eléctricos</t>
  </si>
  <si>
    <t>Iluminação: Consumo de electricidade</t>
  </si>
  <si>
    <r>
      <t xml:space="preserve">Ano típico de operação= Ano do </t>
    </r>
    <r>
      <rPr>
        <b/>
        <sz val="8"/>
        <color theme="1"/>
        <rFont val="Aptos"/>
        <family val="2"/>
      </rPr>
      <t>início da operação</t>
    </r>
    <r>
      <rPr>
        <sz val="8"/>
        <color theme="1"/>
        <rFont val="Aptos"/>
        <family val="2"/>
      </rPr>
      <t xml:space="preserve"> do projeto +2</t>
    </r>
  </si>
  <si>
    <t>Factor Consumo Electricidade (kWh/unidade)</t>
  </si>
  <si>
    <t>1. Cálculo das emissões absolutas:</t>
  </si>
  <si>
    <r>
      <t>Euros/ tCO</t>
    </r>
    <r>
      <rPr>
        <vertAlign val="subscript"/>
        <sz val="12"/>
        <color theme="1"/>
        <rFont val="Aptos"/>
        <family val="2"/>
      </rPr>
      <t>2eq</t>
    </r>
  </si>
  <si>
    <r>
      <t xml:space="preserve">O projeto situa-se numa zona </t>
    </r>
    <r>
      <rPr>
        <b/>
        <sz val="12"/>
        <color theme="1"/>
        <rFont val="Aptos"/>
        <family val="2"/>
      </rPr>
      <t>turística ou junto de escolas/ universidades</t>
    </r>
  </si>
  <si>
    <t>Fator de emissão GEE a utilizar</t>
  </si>
  <si>
    <t>I- Fator de emissão de GEE do utilizador</t>
  </si>
  <si>
    <t>Fator de emissão GEE a utilizar (electricidade)</t>
  </si>
  <si>
    <t>Fator de emissão de GEE do motociclo eléctrico</t>
  </si>
  <si>
    <t>% de TM micromobilidade</t>
  </si>
  <si>
    <t>Custo Sombra</t>
  </si>
  <si>
    <r>
      <t>Euro/ tCO</t>
    </r>
    <r>
      <rPr>
        <b/>
        <vertAlign val="subscript"/>
        <sz val="12"/>
        <color theme="0"/>
        <rFont val="Aptos"/>
        <family val="2"/>
      </rPr>
      <t>2eq</t>
    </r>
  </si>
  <si>
    <t xml:space="preserve">Electricidade </t>
  </si>
  <si>
    <t>Fatores de emissão electricidade  utilizador</t>
  </si>
  <si>
    <t>Transporte público</t>
  </si>
  <si>
    <t>metro</t>
  </si>
  <si>
    <t>Transferência modal (%) (utilizador)- e-bike</t>
  </si>
  <si>
    <t>Transferência modal (%) (utilizador)- bicicleta não eléctrica</t>
  </si>
  <si>
    <t>Transferência modal (%) (utilizador)- e-motociclo</t>
  </si>
  <si>
    <t>Transferência modal (%) (defeito)- bicicleta não eléctrica</t>
  </si>
  <si>
    <t>Transferência modal (%) (defeito)- e-bike</t>
  </si>
  <si>
    <t>Transferência modal (%) (defeito)- e-motociclo</t>
  </si>
  <si>
    <r>
      <t xml:space="preserve">Indicadores                                </t>
    </r>
    <r>
      <rPr>
        <sz val="20"/>
        <color theme="1"/>
        <rFont val="Aptos"/>
        <family val="2"/>
      </rPr>
      <t>modos de transporte</t>
    </r>
  </si>
  <si>
    <t>Nº passageiros</t>
  </si>
  <si>
    <t>Estimativa equipa IST com FE electricidade Rede Nacional</t>
  </si>
  <si>
    <t>FE estimado pela equipa IST</t>
  </si>
  <si>
    <t>Metro de Lisboa (metro subterrâneo)</t>
  </si>
  <si>
    <t>Metro do Porto (metro subterrâneo e de superfície)</t>
  </si>
  <si>
    <t>Comboio (passageiros)</t>
  </si>
  <si>
    <t>pkm</t>
  </si>
  <si>
    <t>Dados de Atividade/indicador</t>
  </si>
  <si>
    <t>Nacional</t>
  </si>
  <si>
    <t>Suburbano</t>
  </si>
  <si>
    <t>Linhas ferroviárias</t>
  </si>
  <si>
    <t>Electrificadas</t>
  </si>
  <si>
    <t>Não electrificadas</t>
  </si>
  <si>
    <t>Ano de referência</t>
  </si>
  <si>
    <t>Gasolina</t>
  </si>
  <si>
    <t>Eléctrico puro (bateria)</t>
  </si>
  <si>
    <t>Motociclos</t>
  </si>
  <si>
    <t>GPL</t>
  </si>
  <si>
    <t xml:space="preserve">Elétrico híbrido plug-in	</t>
  </si>
  <si>
    <t xml:space="preserve">Elétrico híbrido não plug-in	</t>
  </si>
  <si>
    <t xml:space="preserve">Coeficiente de utilização de transportes (%) das empresas de transporte rodoviário de passageiros </t>
  </si>
  <si>
    <t>Urbano/suburbano</t>
  </si>
  <si>
    <t>Interurbano</t>
  </si>
  <si>
    <t>Consumo de gás natural (m³) das empresas de transporte rodoviário de passageiros</t>
  </si>
  <si>
    <t>m3</t>
  </si>
  <si>
    <t>Gas Natural</t>
  </si>
  <si>
    <t>GPL auto</t>
  </si>
  <si>
    <t xml:space="preserve">Consumo de electricidade (kW) das empresas de transporte rodoviário de passageiros </t>
  </si>
  <si>
    <t>kW</t>
  </si>
  <si>
    <t>Electricidade</t>
  </si>
  <si>
    <t>Transporte de passageiros (pkm) pelas empresas de transporte rodoviário de passageiros</t>
  </si>
  <si>
    <t>Fertagus</t>
  </si>
  <si>
    <t>Indicador estimado</t>
  </si>
  <si>
    <t>total</t>
  </si>
  <si>
    <t xml:space="preserve">Consumo de combustível (L) das empresas de transporte rodoviário de passageiros </t>
  </si>
  <si>
    <t>Veículos de passageiros</t>
  </si>
  <si>
    <t>Emissões absolutas (Totais)</t>
  </si>
  <si>
    <t>v.km</t>
  </si>
  <si>
    <t>Custo do ano típico do projeto (n+2)</t>
  </si>
  <si>
    <t>Proporções do automóvel e do autocarro utilizadas para a as TM (estimadas de acordo com os dados do INE 2023- Estatísticas do transporte)</t>
  </si>
  <si>
    <t>Carro</t>
  </si>
  <si>
    <t>Hibrido (motor desconhecido)</t>
  </si>
  <si>
    <t>Eléctrico- bateria</t>
  </si>
  <si>
    <t>(%*FE)</t>
  </si>
  <si>
    <t>Pressuposto equipa IST</t>
  </si>
  <si>
    <t>autocarros</t>
  </si>
  <si>
    <t>Fator de Emissão (sem ACV)</t>
  </si>
  <si>
    <t>Hibrido (plug in)</t>
  </si>
  <si>
    <t>autocarro standard (energia utilizada desconhecida)</t>
  </si>
  <si>
    <t>automóvel (energia utilizada desconhecida)</t>
  </si>
  <si>
    <t>FE</t>
  </si>
  <si>
    <t>A: veiculo</t>
  </si>
  <si>
    <t>B: TM (Nº bicicletas*Nº km ano* %TM)-                                 unidade: km evitados/ veículo</t>
  </si>
  <si>
    <t>bike não electrica</t>
  </si>
  <si>
    <t>e-motociclo</t>
  </si>
  <si>
    <t>e-trotineta</t>
  </si>
  <si>
    <t>bicicleta não eléctrica</t>
  </si>
  <si>
    <t xml:space="preserve"> e-motociclo</t>
  </si>
  <si>
    <t>Redes e vias Total A+B (emissões evitadas) com  ACV</t>
  </si>
  <si>
    <t>FE metro</t>
  </si>
  <si>
    <t>GOOD TO GO? ASSESSING THE ENVIRONMENTAL PERFORMANCE OF NEW MOBILITY © OECD/ITF 2020</t>
  </si>
  <si>
    <t xml:space="preserve">Estimativa equipa IST com FE electricidade Rede Nacional </t>
  </si>
  <si>
    <t xml:space="preserve">metro </t>
  </si>
  <si>
    <t>Ferry (passageiros)</t>
  </si>
  <si>
    <t>Ferry - combustão</t>
  </si>
  <si>
    <t>2020,  International  Transport Forum- BoardCPBGood to Go? Assessing the Environmental Performance of New Mobility</t>
  </si>
  <si>
    <t>Nº Passageiros</t>
  </si>
  <si>
    <t>Carris- Elétricos (&lt;221 passageiros)</t>
  </si>
  <si>
    <t>Tipo de projeto</t>
  </si>
  <si>
    <t>4.4 Resultados (Subtotais do projeto)</t>
  </si>
  <si>
    <t>Fator de emissão  (kgCO2e/p.km)- utilizador</t>
  </si>
  <si>
    <t>Fórmula= (Nº total de km * FE)/1000</t>
  </si>
  <si>
    <t>Carro (nº de carros)</t>
  </si>
  <si>
    <t>autocarros (tipo de energia)</t>
  </si>
  <si>
    <t>Transferência modal (%) (defeito- AML)- Estudo Gira</t>
  </si>
  <si>
    <t>Fator de emissão GEE (electricidade) do utilizador (obrigatório)</t>
  </si>
  <si>
    <t xml:space="preserve">Fator de emissão e-bicicleta </t>
  </si>
  <si>
    <t xml:space="preserve">Fator de emissão e-motociclo </t>
  </si>
  <si>
    <t>Fator de Emissão (sem ACV) (kg/pkm)</t>
  </si>
  <si>
    <t>C= B* FE                                                 Emissões Referência  (sem ACV)- ton CO2e/pkm</t>
  </si>
  <si>
    <r>
      <rPr>
        <b/>
        <sz val="8"/>
        <color theme="1"/>
        <rFont val="Aptos"/>
        <family val="2"/>
      </rPr>
      <t>Localização</t>
    </r>
    <r>
      <rPr>
        <sz val="8"/>
        <color theme="1"/>
        <rFont val="Aptos"/>
        <family val="2"/>
      </rPr>
      <t xml:space="preserve"> do projeto</t>
    </r>
  </si>
  <si>
    <r>
      <t xml:space="preserve">Nº total de </t>
    </r>
    <r>
      <rPr>
        <b/>
        <sz val="8"/>
        <color theme="1"/>
        <rFont val="Aptos"/>
        <family val="2"/>
      </rPr>
      <t xml:space="preserve">trotinetas </t>
    </r>
    <r>
      <rPr>
        <b/>
        <u/>
        <sz val="8"/>
        <color theme="1"/>
        <rFont val="Aptos"/>
        <family val="2"/>
      </rPr>
      <t>partilhadas</t>
    </r>
    <r>
      <rPr>
        <sz val="8"/>
        <color theme="1"/>
        <rFont val="Aptos"/>
        <family val="2"/>
      </rPr>
      <t xml:space="preserve"> em circulação previstas no projeto num ano típico de funcionamento</t>
    </r>
  </si>
  <si>
    <r>
      <t>Nº total de km percorridos por</t>
    </r>
    <r>
      <rPr>
        <b/>
        <sz val="8"/>
        <color theme="1"/>
        <rFont val="Aptos"/>
        <family val="2"/>
      </rPr>
      <t xml:space="preserve"> trotineta </t>
    </r>
    <r>
      <rPr>
        <b/>
        <u/>
        <sz val="8"/>
        <color theme="1"/>
        <rFont val="Aptos"/>
        <family val="2"/>
      </rPr>
      <t>partilhada</t>
    </r>
    <r>
      <rPr>
        <sz val="8"/>
        <color theme="1"/>
        <rFont val="Aptos"/>
        <family val="2"/>
      </rPr>
      <t xml:space="preserve"> num ano típico de funcionamento</t>
    </r>
  </si>
  <si>
    <r>
      <t>Nº total de</t>
    </r>
    <r>
      <rPr>
        <b/>
        <sz val="8"/>
        <color theme="1"/>
        <rFont val="Aptos"/>
        <family val="2"/>
      </rPr>
      <t xml:space="preserve"> trotinetas </t>
    </r>
    <r>
      <rPr>
        <b/>
        <u/>
        <sz val="8"/>
        <color theme="1"/>
        <rFont val="Aptos"/>
        <family val="2"/>
      </rPr>
      <t>privadas</t>
    </r>
    <r>
      <rPr>
        <sz val="8"/>
        <color theme="1"/>
        <rFont val="Aptos"/>
        <family val="2"/>
      </rPr>
      <t xml:space="preserve"> em circulação previstas no projeto num ano típico de funcionamento</t>
    </r>
  </si>
  <si>
    <r>
      <t>Nº total de km percorridos por</t>
    </r>
    <r>
      <rPr>
        <b/>
        <sz val="8"/>
        <color theme="1"/>
        <rFont val="Aptos"/>
        <family val="2"/>
      </rPr>
      <t xml:space="preserve"> trotineta </t>
    </r>
    <r>
      <rPr>
        <b/>
        <u/>
        <sz val="8"/>
        <color theme="1"/>
        <rFont val="Aptos"/>
        <family val="2"/>
      </rPr>
      <t>privada</t>
    </r>
    <r>
      <rPr>
        <sz val="8"/>
        <color theme="1"/>
        <rFont val="Aptos"/>
        <family val="2"/>
      </rPr>
      <t xml:space="preserve"> num ano típico de funcionamento</t>
    </r>
  </si>
  <si>
    <t>TE_Trotinetas eléctricas partilhadas</t>
  </si>
  <si>
    <t>TE_Trotinetas eléctricas privadas</t>
  </si>
  <si>
    <t>% TM (defeito)</t>
  </si>
  <si>
    <t>Transferência modal (%) (defeito)- e-trotineta privada</t>
  </si>
  <si>
    <t>Transferência modal (%) (defeito)- e-trotineta partilhada</t>
  </si>
  <si>
    <t>e-trotineta privada</t>
  </si>
  <si>
    <t>e-trotineta partilhada</t>
  </si>
  <si>
    <t>Transferência modal (%) (utilizador)- e-trotineta partilhada</t>
  </si>
  <si>
    <t>Transferência modal (%) (utilizador)- e-trotineta privada</t>
  </si>
  <si>
    <t>modo pedonal (0  emissões)</t>
  </si>
  <si>
    <t>Nº total de autocarros em circulação/ novos previstos no projeto num ano típico de funcionamento</t>
  </si>
  <si>
    <t>Minibus -elétrico</t>
  </si>
  <si>
    <t>Minibus -combustão</t>
  </si>
  <si>
    <t>Autocarro standard- elétrico</t>
  </si>
  <si>
    <t>Autocarro standard- combustão</t>
  </si>
  <si>
    <t>Autocarros articulados/ BRT  - elétrico</t>
  </si>
  <si>
    <t>Autocarros articulados/ BRT  -combustão</t>
  </si>
  <si>
    <t>Nº total de km percorridos por um autocarro num ano típico de funcionamento</t>
  </si>
  <si>
    <t>Autocarro Standard: elétrico (&lt; 85 passageiros)</t>
  </si>
  <si>
    <t>Autocarros Articulados/ Bus Rapid Transit: elétrico  (&lt;130 passageiros)</t>
  </si>
  <si>
    <t>Autocarro Standard: combustivel (&lt; 85 passageiros)</t>
  </si>
  <si>
    <t>Fator de emissão de GEE (eletricidade)</t>
  </si>
  <si>
    <t>Bicicletas elétricas</t>
  </si>
  <si>
    <t>Trotinetas elétricas</t>
  </si>
  <si>
    <t>Bicicletas não elétricas ou convencionais</t>
  </si>
  <si>
    <t>TE_Trotinetas elétricas: tempo médio de viagem em movimentos pendulares</t>
  </si>
  <si>
    <t>Bicicletas não elétricas</t>
  </si>
  <si>
    <t>Fator de emissão de GEE da bicicleta elétrica</t>
  </si>
  <si>
    <t>Trotineta elétrica</t>
  </si>
  <si>
    <t>Motociclos elétricos</t>
  </si>
  <si>
    <t>Motociclos elétrico</t>
  </si>
  <si>
    <t>Comboios urbanos</t>
  </si>
  <si>
    <t>Comboios (metro subterrâneo)</t>
  </si>
  <si>
    <t>Comboios (metro de superfície)</t>
  </si>
  <si>
    <t>Elétricos</t>
  </si>
  <si>
    <t>Comboios (metro de superfície + subterrâneo)</t>
  </si>
  <si>
    <t>Emissões Absolutas</t>
  </si>
  <si>
    <t>Trotinetas elétricas partilhadas</t>
  </si>
  <si>
    <t>Trotinetas elétricas privadas</t>
  </si>
  <si>
    <t>Trotinetas elétricas (partilhadas)</t>
  </si>
  <si>
    <t>Comboio urbano</t>
  </si>
  <si>
    <t>Elétrico</t>
  </si>
  <si>
    <r>
      <t xml:space="preserve">Indicadores                                </t>
    </r>
    <r>
      <rPr>
        <sz val="18"/>
        <color theme="1"/>
        <rFont val="Aptos"/>
        <family val="2"/>
      </rPr>
      <t>autocarros urbanos</t>
    </r>
  </si>
  <si>
    <t>Barco elétrico</t>
  </si>
  <si>
    <r>
      <t xml:space="preserve">Qual a TM expectável do </t>
    </r>
    <r>
      <rPr>
        <b/>
        <sz val="14"/>
        <color theme="1"/>
        <rFont val="Aptos"/>
        <family val="2"/>
      </rPr>
      <t>metro</t>
    </r>
    <r>
      <rPr>
        <sz val="14"/>
        <color theme="1"/>
        <rFont val="Aptos"/>
        <family val="2"/>
      </rPr>
      <t xml:space="preserve"> para o </t>
    </r>
    <r>
      <rPr>
        <b/>
        <sz val="14"/>
        <color theme="1"/>
        <rFont val="Aptos"/>
        <family val="2"/>
      </rPr>
      <t>minibus elétrico</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</si>
  <si>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minibus a combustão</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</si>
  <si>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minibus a combustão</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</si>
  <si>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 xml:space="preserve"> autocarro standard elétrico</t>
    </r>
    <r>
      <rPr>
        <sz val="14"/>
        <color theme="1"/>
        <rFont val="Aptos"/>
        <family val="2"/>
      </rPr>
      <t>?</t>
    </r>
  </si>
  <si>
    <r>
      <t xml:space="preserve">Qual a TM expectável do </t>
    </r>
    <r>
      <rPr>
        <b/>
        <sz val="14"/>
        <color theme="1"/>
        <rFont val="Aptos"/>
        <family val="2"/>
      </rPr>
      <t>metro</t>
    </r>
    <r>
      <rPr>
        <sz val="14"/>
        <color theme="1"/>
        <rFont val="Aptos"/>
        <family val="2"/>
      </rPr>
      <t xml:space="preserve"> para o  autocarro standard </t>
    </r>
    <r>
      <rPr>
        <b/>
        <sz val="14"/>
        <color theme="1"/>
        <rFont val="Aptos"/>
        <family val="2"/>
      </rPr>
      <t>a combustível</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</si>
  <si>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 xml:space="preserve"> autocarro standard a combustível</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</si>
  <si>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autocarro articulado/BRT elétrico</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</si>
  <si>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o </t>
    </r>
    <r>
      <rPr>
        <b/>
        <sz val="14"/>
        <color theme="1"/>
        <rFont val="Aptos"/>
        <family val="2"/>
      </rPr>
      <t xml:space="preserve"> autocarro articulado/BRT elétrico</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</si>
  <si>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autocarro articulado/BRT a combustão</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</si>
  <si>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o </t>
    </r>
    <r>
      <rPr>
        <b/>
        <sz val="14"/>
        <color theme="1"/>
        <rFont val="Aptos"/>
        <family val="2"/>
      </rPr>
      <t xml:space="preserve"> autocarro articulado/BRT a combustão</t>
    </r>
    <r>
      <rPr>
        <sz val="14"/>
        <color theme="1"/>
        <rFont val="Aptos"/>
        <family val="2"/>
      </rPr>
      <t>?</t>
    </r>
  </si>
  <si>
    <r>
      <t xml:space="preserve">Fator de emissão de GEE - </t>
    </r>
    <r>
      <rPr>
        <b/>
        <sz val="14"/>
        <color theme="1"/>
        <rFont val="Aptos"/>
        <family val="2"/>
      </rPr>
      <t>material circulante elétrico</t>
    </r>
  </si>
  <si>
    <r>
      <t>tCO</t>
    </r>
    <r>
      <rPr>
        <vertAlign val="subscript"/>
        <sz val="14"/>
        <color theme="1"/>
        <rFont val="Aptos"/>
        <family val="2"/>
      </rPr>
      <t>2eq</t>
    </r>
    <r>
      <rPr>
        <sz val="14"/>
        <color theme="1"/>
        <rFont val="Aptos"/>
        <family val="2"/>
      </rPr>
      <t>/ano</t>
    </r>
  </si>
  <si>
    <r>
      <rPr>
        <b/>
        <sz val="14"/>
        <color theme="1"/>
        <rFont val="Aptos"/>
        <family val="2"/>
      </rPr>
      <t>A</t>
    </r>
    <r>
      <rPr>
        <b/>
        <vertAlign val="subscript"/>
        <sz val="14"/>
        <color theme="1"/>
        <rFont val="Aptos"/>
        <family val="2"/>
      </rPr>
      <t>b</t>
    </r>
    <r>
      <rPr>
        <b/>
        <sz val="14"/>
        <color theme="1"/>
        <rFont val="Aptos"/>
        <family val="2"/>
      </rPr>
      <t>: Emissões Absolutas</t>
    </r>
    <r>
      <rPr>
        <sz val="14"/>
        <color theme="1"/>
        <rFont val="Aptos"/>
        <family val="2"/>
      </rPr>
      <t xml:space="preserve"> Totais </t>
    </r>
  </si>
  <si>
    <r>
      <rPr>
        <b/>
        <sz val="14"/>
        <color theme="1"/>
        <rFont val="Aptos"/>
        <family val="2"/>
      </rPr>
      <t>B</t>
    </r>
    <r>
      <rPr>
        <b/>
        <vertAlign val="subscript"/>
        <sz val="14"/>
        <color theme="1"/>
        <rFont val="Aptos"/>
        <family val="2"/>
      </rPr>
      <t>e</t>
    </r>
    <r>
      <rPr>
        <b/>
        <sz val="14"/>
        <color theme="1"/>
        <rFont val="Aptos"/>
        <family val="2"/>
      </rPr>
      <t>: Emissões de Referência</t>
    </r>
    <r>
      <rPr>
        <sz val="14"/>
        <color theme="1"/>
        <rFont val="Aptos"/>
        <family val="2"/>
      </rPr>
      <t xml:space="preserve"> Totais</t>
    </r>
  </si>
  <si>
    <r>
      <rPr>
        <b/>
        <sz val="14"/>
        <color theme="1"/>
        <rFont val="Aptos"/>
        <family val="2"/>
      </rPr>
      <t>CS: Custo Sombra</t>
    </r>
    <r>
      <rPr>
        <sz val="14"/>
        <color theme="1"/>
        <rFont val="Aptos"/>
        <family val="2"/>
      </rPr>
      <t xml:space="preserve"> das emissões evitadas totais</t>
    </r>
  </si>
  <si>
    <r>
      <t>Euros/ tCO</t>
    </r>
    <r>
      <rPr>
        <vertAlign val="subscript"/>
        <sz val="14"/>
        <color theme="1"/>
        <rFont val="Aptos"/>
        <family val="2"/>
      </rPr>
      <t>2eq</t>
    </r>
  </si>
  <si>
    <r>
      <rPr>
        <b/>
        <sz val="14"/>
        <color theme="1"/>
        <rFont val="Aptos"/>
        <family val="2"/>
      </rPr>
      <t>CS: Custo Sombra</t>
    </r>
    <r>
      <rPr>
        <sz val="14"/>
        <color theme="1"/>
        <rFont val="Aptos"/>
        <family val="2"/>
      </rPr>
      <t xml:space="preserve"> das emissões            evitadas totais</t>
    </r>
  </si>
  <si>
    <r>
      <t>tCO</t>
    </r>
    <r>
      <rPr>
        <vertAlign val="subscript"/>
        <sz val="14"/>
        <rFont val="Aptos"/>
        <family val="2"/>
      </rPr>
      <t>2eq</t>
    </r>
    <r>
      <rPr>
        <sz val="14"/>
        <rFont val="Aptos"/>
        <family val="2"/>
      </rPr>
      <t>/ano</t>
    </r>
  </si>
  <si>
    <r>
      <rPr>
        <b/>
        <sz val="14"/>
        <rFont val="Aptos"/>
        <family val="2"/>
      </rPr>
      <t>Emissões de Referência</t>
    </r>
    <r>
      <rPr>
        <sz val="14"/>
        <rFont val="Aptos"/>
        <family val="2"/>
      </rPr>
      <t xml:space="preserve"> </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</si>
  <si>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minibus elétrico</t>
    </r>
    <r>
      <rPr>
        <sz val="14"/>
        <color theme="1"/>
        <rFont val="Aptos"/>
        <family val="2"/>
      </rPr>
      <t>?</t>
    </r>
  </si>
  <si>
    <t>TM2_autocarros</t>
  </si>
  <si>
    <t>Minibus: Fator de emissão de GEE - material circulante elétrico</t>
  </si>
  <si>
    <t>Minibus: Fator de emissão de GEE - material circulante combustão</t>
  </si>
  <si>
    <t>Autocarro Standard: Fator de emissão de GEE - material circulante elétrico</t>
  </si>
  <si>
    <t>Autocarro Standard: Fator de emissão de GEE - material circulante combustão</t>
  </si>
  <si>
    <t>BRT: Fator de emissão de GEE - material circulante elétrico</t>
  </si>
  <si>
    <t>BRT: Fator de emissão de GEE - material circulante combustão</t>
  </si>
  <si>
    <t>Articulado/ BRT - Gasóleo (&lt; 130 passageiros)</t>
  </si>
  <si>
    <t>Articulado/ BRT - GNC  (&lt; 130 passageiros)</t>
  </si>
  <si>
    <t>0.09177</t>
  </si>
  <si>
    <t xml:space="preserve">Estimativa Equipa IST baseado no Relatório de Sustentabilidade - Triénio 2021 a 2023 da CP. </t>
  </si>
  <si>
    <t>CP- Comboios de Portugal  (Gasóleo)</t>
  </si>
  <si>
    <t>Standard-GNL (&lt;85 passageiros)</t>
  </si>
  <si>
    <t>Standard- Gasóleo (&lt;85 passageiros)</t>
  </si>
  <si>
    <t>Fator de emissão GEE (eletricidade) do utilizador (obrigatório)</t>
  </si>
  <si>
    <t>Minibus elétrico</t>
  </si>
  <si>
    <t>Minibus combustão</t>
  </si>
  <si>
    <t>Standard elétrico</t>
  </si>
  <si>
    <t>BRT elétrico</t>
  </si>
  <si>
    <t>BRT combustão</t>
  </si>
  <si>
    <t>Transferências Modais - Autocarros</t>
  </si>
  <si>
    <t>Standard combustão</t>
  </si>
  <si>
    <t>BRTs elétrico</t>
  </si>
  <si>
    <t>BRTs combustão</t>
  </si>
  <si>
    <t>Transferência modal (%) Minibus- elétrico</t>
  </si>
  <si>
    <t>Transferência modal (%) Minibus- combustão</t>
  </si>
  <si>
    <t>Transferência modal (%) Standard- elétrico</t>
  </si>
  <si>
    <t>Transferência modal (%) Standard- combustão</t>
  </si>
  <si>
    <t>Transferência modal (%) BRT- elétrico</t>
  </si>
  <si>
    <t>Transferência modal (%) BRT- combustão</t>
  </si>
  <si>
    <t>Material Circulante</t>
  </si>
  <si>
    <t>B: TM (Nº autocarros*Nº km ano* %TM)-                                 unidade: km / veículo</t>
  </si>
  <si>
    <t>BRT- elétrico</t>
  </si>
  <si>
    <t xml:space="preserve"> BRT- combustão</t>
  </si>
  <si>
    <t xml:space="preserve"> Standard- combustão</t>
  </si>
  <si>
    <t>Standard- elétrico</t>
  </si>
  <si>
    <t xml:space="preserve"> Minibus- combustão</t>
  </si>
  <si>
    <t xml:space="preserve"> Minibus- elétrico</t>
  </si>
  <si>
    <t>Minibus (elétrico)</t>
  </si>
  <si>
    <t>Autocarro Standard (elétrico)</t>
  </si>
  <si>
    <r>
      <rPr>
        <b/>
        <sz val="14"/>
        <color theme="1"/>
        <rFont val="Aptos"/>
        <family val="2"/>
      </rPr>
      <t>En: Emissões Totais</t>
    </r>
    <r>
      <rPr>
        <sz val="14"/>
        <color theme="1"/>
        <rFont val="Aptos"/>
        <family val="2"/>
      </rPr>
      <t xml:space="preserve"> do consumo de eletricidade (transporte elétrico)</t>
    </r>
    <r>
      <rPr>
        <b/>
        <sz val="14"/>
        <color theme="1"/>
        <rFont val="Aptos"/>
        <family val="2"/>
      </rPr>
      <t xml:space="preserve"> </t>
    </r>
  </si>
  <si>
    <t>Autocarro Articulado/                      Bus Rapid Transit (elétrico)</t>
  </si>
  <si>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minibus a combustão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</si>
  <si>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autocarro standard elétrico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</si>
  <si>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autocarro standard a combustível</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</si>
  <si>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autocarro articulado/BRT elétrico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</si>
  <si>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autocarro articulado/BRT a combustão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</si>
  <si>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comboio urbano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</si>
  <si>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metro (subterrâneo)</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</si>
  <si>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t>
    </r>
    <r>
      <rPr>
        <b/>
        <sz val="14"/>
        <color theme="1"/>
        <rFont val="Aptos"/>
        <family val="2"/>
      </rPr>
      <t>metro (subterrâneo))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</si>
  <si>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metro (superficie)</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</si>
  <si>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o metro</t>
    </r>
    <r>
      <rPr>
        <b/>
        <sz val="14"/>
        <color theme="1"/>
        <rFont val="Aptos"/>
        <family val="2"/>
      </rPr>
      <t xml:space="preserve"> (superficie)?</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</si>
  <si>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t>
    </r>
    <r>
      <rPr>
        <b/>
        <sz val="14"/>
        <color theme="1"/>
        <rFont val="Aptos"/>
        <family val="2"/>
      </rPr>
      <t xml:space="preserve"> elétrico</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</si>
  <si>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elétrico</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</si>
  <si>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t>
    </r>
    <r>
      <rPr>
        <b/>
        <sz val="14"/>
        <color theme="1"/>
        <rFont val="Aptos"/>
        <family val="2"/>
      </rPr>
      <t>elétrico</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</si>
  <si>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barco elétrico?</t>
    </r>
  </si>
  <si>
    <r>
      <t xml:space="preserve">Qual a TM expectável do </t>
    </r>
    <r>
      <rPr>
        <b/>
        <sz val="14"/>
        <color theme="1"/>
        <rFont val="Aptos"/>
        <family val="2"/>
      </rPr>
      <t>comboio urbano</t>
    </r>
    <r>
      <rPr>
        <sz val="14"/>
        <color theme="1"/>
        <rFont val="Aptos"/>
        <family val="2"/>
      </rPr>
      <t xml:space="preserve"> para o barco elétrico?</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</si>
  <si>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de energia desconhecida)</t>
    </r>
    <r>
      <rPr>
        <sz val="14"/>
        <color theme="1"/>
        <rFont val="Aptos"/>
        <family val="2"/>
      </rPr>
      <t xml:space="preserve"> para o barco elétrico?</t>
    </r>
  </si>
  <si>
    <t>TM2_ferrovia</t>
  </si>
  <si>
    <t>Comboios urbanos: Fator de emissão de GEE - material circulante elétrico</t>
  </si>
  <si>
    <t>Comboios metro subterrâneo</t>
  </si>
  <si>
    <t>Comboios metro superfície</t>
  </si>
  <si>
    <t>Comboios metro superficie+ subterrâneo</t>
  </si>
  <si>
    <t>Comboios metro superficie</t>
  </si>
  <si>
    <t>Comboios metro superficie + subterrâneo</t>
  </si>
  <si>
    <t>Metro de superfície</t>
  </si>
  <si>
    <t>Comboios metro superficie: Fator de emissão de GEE - material circulante elétrico</t>
  </si>
  <si>
    <t>Transferência modal (%) Metro Superficie</t>
  </si>
  <si>
    <t>Transferência modal (%) Metro subterrâneo</t>
  </si>
  <si>
    <t>Transferência modal (%) Metro Superficie + Subterrâneo</t>
  </si>
  <si>
    <t>Transferência modal (%) Elétrico</t>
  </si>
  <si>
    <t>Transferências Modais - ferrovia</t>
  </si>
  <si>
    <t>Comboios Urbanos</t>
  </si>
  <si>
    <t>Metro subterrâneo</t>
  </si>
  <si>
    <t>Metro Superficie</t>
  </si>
  <si>
    <t xml:space="preserve"> Metro Superficie + Subterrâneo</t>
  </si>
  <si>
    <t xml:space="preserve"> Elétrico</t>
  </si>
  <si>
    <t>TM2_Transporte Fluvial</t>
  </si>
  <si>
    <t>Fator de Emissão (ACV) (kg/pkm)</t>
  </si>
  <si>
    <r>
      <rPr>
        <b/>
        <sz val="14"/>
        <color theme="1"/>
        <rFont val="Aptos"/>
        <family val="2"/>
      </rPr>
      <t xml:space="preserve">En: </t>
    </r>
    <r>
      <rPr>
        <sz val="14"/>
        <color theme="1"/>
        <rFont val="Aptos"/>
        <family val="2"/>
      </rPr>
      <t>Consumo de eletricidade (transporte elétrico)</t>
    </r>
    <r>
      <rPr>
        <b/>
        <sz val="14"/>
        <color theme="1"/>
        <rFont val="Aptos"/>
        <family val="2"/>
      </rPr>
      <t xml:space="preserve"> </t>
    </r>
  </si>
  <si>
    <t xml:space="preserve">Fator de emissão GEE do utilizador </t>
  </si>
  <si>
    <t>Quadro A</t>
  </si>
  <si>
    <t>Quadro B</t>
  </si>
  <si>
    <t>Cálculos adicionais do utilizador</t>
  </si>
  <si>
    <t>Glossário</t>
  </si>
  <si>
    <r>
      <t>CO</t>
    </r>
    <r>
      <rPr>
        <b/>
        <vertAlign val="subscript"/>
        <sz val="12"/>
        <color theme="0" tint="-4.9989318521683403E-2"/>
        <rFont val="Aptos"/>
        <family val="2"/>
      </rPr>
      <t xml:space="preserve">2 </t>
    </r>
  </si>
  <si>
    <r>
      <t>CH</t>
    </r>
    <r>
      <rPr>
        <b/>
        <vertAlign val="subscript"/>
        <sz val="12"/>
        <color theme="0" tint="-4.9989318521683403E-2"/>
        <rFont val="Aptos"/>
        <family val="2"/>
      </rPr>
      <t>4</t>
    </r>
  </si>
  <si>
    <r>
      <t>N</t>
    </r>
    <r>
      <rPr>
        <b/>
        <vertAlign val="subscript"/>
        <sz val="12"/>
        <color theme="0" tint="-4.9989318521683403E-2"/>
        <rFont val="Aptos"/>
        <family val="2"/>
      </rPr>
      <t>2</t>
    </r>
    <r>
      <rPr>
        <b/>
        <sz val="12"/>
        <color theme="0" tint="-4.9989318521683403E-2"/>
        <rFont val="Aptos"/>
        <family val="2"/>
      </rPr>
      <t>O</t>
    </r>
  </si>
  <si>
    <r>
      <t xml:space="preserve">Fonte: Mendes, J. </t>
    </r>
    <r>
      <rPr>
        <i/>
        <sz val="12"/>
        <color theme="1"/>
        <rFont val="Aptos"/>
        <family val="2"/>
      </rPr>
      <t xml:space="preserve">et al. </t>
    </r>
    <r>
      <rPr>
        <sz val="12"/>
        <color theme="1"/>
        <rFont val="Aptos"/>
        <family val="2"/>
      </rPr>
      <t xml:space="preserve"> (2022). CleanBusPT . Transporte Público Urbano em Portugal: O caminho para as zero emissões. Dados estimados a partir dos valores para os Autocarros standard (Fonte: APA, NATIONAL INVENTORY REPORT 2021 PORTUGAL) tendo em conta a ponderação a partir da relação de consumos face ao veículo Standard</t>
    </r>
  </si>
  <si>
    <t>Fatores de Conversão</t>
  </si>
  <si>
    <r>
      <t xml:space="preserve">Fator de emissão de GEE da trotineta elétrica </t>
    </r>
    <r>
      <rPr>
        <u/>
        <sz val="14"/>
        <color theme="1"/>
        <rFont val="Aptos"/>
        <family val="2"/>
      </rPr>
      <t>partilhada</t>
    </r>
  </si>
  <si>
    <r>
      <t xml:space="preserve">Fator de emissão de GEE da trotineta elétrica </t>
    </r>
    <r>
      <rPr>
        <u/>
        <sz val="14"/>
        <color theme="1"/>
        <rFont val="Aptos"/>
        <family val="2"/>
      </rPr>
      <t>privada</t>
    </r>
  </si>
  <si>
    <r>
      <t xml:space="preserve">Nº total de trotinetas </t>
    </r>
    <r>
      <rPr>
        <b/>
        <u/>
        <sz val="14"/>
        <color theme="1"/>
        <rFont val="Aptos"/>
        <family val="2"/>
      </rPr>
      <t>privadas</t>
    </r>
    <r>
      <rPr>
        <b/>
        <sz val="14"/>
        <color theme="1"/>
        <rFont val="Aptos"/>
        <family val="2"/>
      </rPr>
      <t xml:space="preserve"> </t>
    </r>
    <r>
      <rPr>
        <sz val="14"/>
        <color theme="1"/>
        <rFont val="Aptos"/>
        <family val="2"/>
      </rPr>
      <t>em circulação previstas no projeto num ano típico de funcionamento</t>
    </r>
  </si>
  <si>
    <r>
      <t xml:space="preserve">Qual a TM expectável do </t>
    </r>
    <r>
      <rPr>
        <b/>
        <sz val="14"/>
        <color theme="1"/>
        <rFont val="Aptos"/>
        <family val="2"/>
      </rPr>
      <t>automóvel</t>
    </r>
    <r>
      <rPr>
        <sz val="14"/>
        <color theme="1"/>
        <rFont val="Aptos"/>
        <family val="2"/>
      </rPr>
      <t xml:space="preserve"> (combustível desconhecido) para a bicicleta não elétrica?</t>
    </r>
  </si>
  <si>
    <r>
      <t xml:space="preserve">Qual a TM expectável do </t>
    </r>
    <r>
      <rPr>
        <b/>
        <sz val="14"/>
        <color theme="1"/>
        <rFont val="Aptos"/>
        <family val="2"/>
      </rPr>
      <t>autocarro</t>
    </r>
    <r>
      <rPr>
        <sz val="14"/>
        <color theme="1"/>
        <rFont val="Aptos"/>
        <family val="2"/>
      </rPr>
      <t xml:space="preserve"> (combustível desconhecido) para a bicicleta não elétrica?</t>
    </r>
  </si>
  <si>
    <r>
      <t xml:space="preserve">Qual a TM expectável do </t>
    </r>
    <r>
      <rPr>
        <b/>
        <sz val="14"/>
        <color theme="1"/>
        <rFont val="Aptos"/>
        <family val="2"/>
      </rPr>
      <t>metro</t>
    </r>
    <r>
      <rPr>
        <sz val="14"/>
        <color theme="1"/>
        <rFont val="Aptos"/>
        <family val="2"/>
      </rPr>
      <t xml:space="preserve"> para a bicicleta não elétrica?</t>
    </r>
  </si>
  <si>
    <r>
      <t xml:space="preserve">Qual a TM expectável do </t>
    </r>
    <r>
      <rPr>
        <b/>
        <sz val="14"/>
        <color theme="1"/>
        <rFont val="Aptos"/>
        <family val="2"/>
      </rPr>
      <t>automóvel</t>
    </r>
    <r>
      <rPr>
        <sz val="14"/>
        <color theme="1"/>
        <rFont val="Aptos"/>
        <family val="2"/>
      </rPr>
      <t xml:space="preserve"> (combustível desconhecido) para a bicicleta elétrica?</t>
    </r>
  </si>
  <si>
    <r>
      <t xml:space="preserve">Qual a TM expectável do </t>
    </r>
    <r>
      <rPr>
        <b/>
        <sz val="14"/>
        <color theme="1"/>
        <rFont val="Aptos"/>
        <family val="2"/>
      </rPr>
      <t>autocarro</t>
    </r>
    <r>
      <rPr>
        <sz val="14"/>
        <color theme="1"/>
        <rFont val="Aptos"/>
        <family val="2"/>
      </rPr>
      <t xml:space="preserve"> (combustível desconhecido) para a bicicleta elétrica?</t>
    </r>
  </si>
  <si>
    <r>
      <t xml:space="preserve">Qual a TM expectável do </t>
    </r>
    <r>
      <rPr>
        <b/>
        <sz val="14"/>
        <color theme="1"/>
        <rFont val="Aptos"/>
        <family val="2"/>
      </rPr>
      <t>metro</t>
    </r>
    <r>
      <rPr>
        <sz val="14"/>
        <color theme="1"/>
        <rFont val="Aptos"/>
        <family val="2"/>
      </rPr>
      <t xml:space="preserve"> para a bicicleta elétrica?</t>
    </r>
  </si>
  <si>
    <r>
      <t xml:space="preserve">Qual a TM expectável do </t>
    </r>
    <r>
      <rPr>
        <b/>
        <sz val="14"/>
        <color theme="1"/>
        <rFont val="Aptos"/>
        <family val="2"/>
      </rPr>
      <t>comboio urbano</t>
    </r>
    <r>
      <rPr>
        <sz val="14"/>
        <color theme="1"/>
        <rFont val="Aptos"/>
        <family val="2"/>
      </rPr>
      <t xml:space="preserve"> para a bicicleta elétrica?</t>
    </r>
  </si>
  <si>
    <r>
      <t xml:space="preserve">Qual a TM expectável do </t>
    </r>
    <r>
      <rPr>
        <b/>
        <sz val="14"/>
        <color theme="1"/>
        <rFont val="Aptos"/>
        <family val="2"/>
      </rPr>
      <t>automóvel</t>
    </r>
    <r>
      <rPr>
        <sz val="14"/>
        <color theme="1"/>
        <rFont val="Aptos"/>
        <family val="2"/>
      </rPr>
      <t xml:space="preserve"> (combustível desconhecido) para o motociclo eléctrico?</t>
    </r>
  </si>
  <si>
    <r>
      <t xml:space="preserve">Qual a TM expectável do </t>
    </r>
    <r>
      <rPr>
        <b/>
        <sz val="14"/>
        <color theme="1"/>
        <rFont val="Aptos"/>
        <family val="2"/>
      </rPr>
      <t>autocarro</t>
    </r>
    <r>
      <rPr>
        <sz val="14"/>
        <color theme="1"/>
        <rFont val="Aptos"/>
        <family val="2"/>
      </rPr>
      <t xml:space="preserve"> (combustível desconhecido) para a moticiclo eléctrico?</t>
    </r>
  </si>
  <si>
    <r>
      <t xml:space="preserve">Qual a TM expectável do </t>
    </r>
    <r>
      <rPr>
        <b/>
        <sz val="14"/>
        <color theme="1"/>
        <rFont val="Aptos"/>
        <family val="2"/>
      </rPr>
      <t>metro</t>
    </r>
    <r>
      <rPr>
        <sz val="14"/>
        <color theme="1"/>
        <rFont val="Aptos"/>
        <family val="2"/>
      </rPr>
      <t xml:space="preserve"> para a moticiclo eléctrico?</t>
    </r>
  </si>
  <si>
    <r>
      <t xml:space="preserve">Qual a TM expectável do </t>
    </r>
    <r>
      <rPr>
        <b/>
        <sz val="14"/>
        <color theme="1"/>
        <rFont val="Aptos"/>
        <family val="2"/>
      </rPr>
      <t>comboio urbano</t>
    </r>
    <r>
      <rPr>
        <sz val="14"/>
        <color theme="1"/>
        <rFont val="Aptos"/>
        <family val="2"/>
      </rPr>
      <t xml:space="preserve"> para a moticiclo eléctrico?</t>
    </r>
  </si>
  <si>
    <r>
      <rPr>
        <b/>
        <sz val="14"/>
        <color theme="1"/>
        <rFont val="Aptos"/>
        <family val="2"/>
      </rPr>
      <t>CS_Custo Sombra</t>
    </r>
    <r>
      <rPr>
        <sz val="14"/>
        <color theme="1"/>
        <rFont val="Aptos"/>
        <family val="2"/>
      </rPr>
      <t xml:space="preserve"> das emissões evitadas totais</t>
    </r>
  </si>
  <si>
    <t>Emissões Evitadas</t>
  </si>
  <si>
    <t>Emissões de Referência</t>
  </si>
  <si>
    <t>Motociclo elétrico</t>
  </si>
  <si>
    <r>
      <t xml:space="preserve">Qual a TM expectável do </t>
    </r>
    <r>
      <rPr>
        <b/>
        <sz val="14"/>
        <color theme="1"/>
        <rFont val="Aptos"/>
        <family val="2"/>
      </rPr>
      <t>comboio urbano</t>
    </r>
    <r>
      <rPr>
        <sz val="14"/>
        <color theme="1"/>
        <rFont val="Aptos"/>
        <family val="2"/>
      </rPr>
      <t xml:space="preserve"> para a bicicleta não elétrica?</t>
    </r>
  </si>
  <si>
    <t>Glossary for transport statistics — 5th edition — co-published by Eurostat, UN and ITF</t>
  </si>
  <si>
    <t>EIB Project Carbon Footprint Methodologies- Methodologies for the assessment
of project greenhouse gas emissions
and emission variations
Version 11.3 (January 2023)</t>
  </si>
  <si>
    <t>IC1_micromobilidade</t>
  </si>
  <si>
    <t>Ano de tipico do projeto</t>
  </si>
  <si>
    <r>
      <rPr>
        <b/>
        <sz val="14"/>
        <color theme="1"/>
        <rFont val="Aptos"/>
        <family val="2"/>
      </rPr>
      <t>En: Eletricidade</t>
    </r>
    <r>
      <rPr>
        <sz val="14"/>
        <color theme="1"/>
        <rFont val="Aptos"/>
        <family val="2"/>
      </rPr>
      <t xml:space="preserve"> Total Consumida (transporte elétrico)</t>
    </r>
  </si>
  <si>
    <t>Autocarros Articulados/ Bus Rapid Transit: combustão  (&lt;130 passageiros)</t>
  </si>
  <si>
    <t>LAND TRANSPORT, SCIENCE-BASED, TARGET-SETTING
GUIDANCE, Version 1.1, October 2024</t>
  </si>
  <si>
    <t>Registo de atualizações</t>
  </si>
  <si>
    <t xml:space="preserve">Ana Sampaio e Ricardo da Silva Vieira  </t>
  </si>
  <si>
    <t>RE_Resultados das várias componentes do projeto</t>
  </si>
  <si>
    <t xml:space="preserve">          </t>
  </si>
  <si>
    <t>Completar para o fator de emissão do utilizador</t>
  </si>
  <si>
    <t xml:space="preserve">Eletricidade </t>
  </si>
  <si>
    <t>IC_  redução de intensidade carbónica: todos os projetos de mobilidade urbana</t>
  </si>
  <si>
    <t xml:space="preserve"> Identificação do Projeto </t>
  </si>
  <si>
    <t xml:space="preserve">1.1 Dados do projeto </t>
  </si>
  <si>
    <t>Nº passageiros/ ano</t>
  </si>
  <si>
    <r>
      <rPr>
        <b/>
        <sz val="14"/>
        <color theme="1"/>
        <rFont val="Aptos"/>
        <family val="2"/>
      </rPr>
      <t>R</t>
    </r>
    <r>
      <rPr>
        <b/>
        <vertAlign val="subscript"/>
        <sz val="14"/>
        <color theme="1"/>
        <rFont val="Aptos"/>
        <family val="2"/>
      </rPr>
      <t>e</t>
    </r>
    <r>
      <rPr>
        <b/>
        <sz val="14"/>
        <color theme="1"/>
        <rFont val="Aptos"/>
        <family val="2"/>
      </rPr>
      <t>: Emissões Relativas</t>
    </r>
    <r>
      <rPr>
        <sz val="14"/>
        <color theme="1"/>
        <rFont val="Aptos"/>
        <family val="2"/>
      </rPr>
      <t xml:space="preserve"> Totais </t>
    </r>
  </si>
  <si>
    <t>1.1 Fatores de emissão de GEE</t>
  </si>
  <si>
    <t>1.2 Indicadores do projeto</t>
  </si>
  <si>
    <t>1.2 Resultados</t>
  </si>
  <si>
    <t>2. Dados relativos às transferências modais</t>
  </si>
  <si>
    <t>2.1 Definição das percentagens das Transferências Modais (TM)</t>
  </si>
  <si>
    <t>3. Resultados</t>
  </si>
  <si>
    <t xml:space="preserve">3.1 Resultados Totais </t>
  </si>
  <si>
    <t>1. Dados para o cálculo das emissões</t>
  </si>
  <si>
    <r>
      <t>1. Dados do Projeto</t>
    </r>
    <r>
      <rPr>
        <sz val="20"/>
        <color theme="0"/>
        <rFont val="Aptos"/>
        <family val="2"/>
      </rPr>
      <t xml:space="preserve"> </t>
    </r>
  </si>
  <si>
    <t>2.1 Opções para o cálculo das transferências modais</t>
  </si>
  <si>
    <t>2.2 Opção I - Definição das percentagens das Transferências Modais (TM)</t>
  </si>
  <si>
    <t>Emissões Relativas</t>
  </si>
  <si>
    <t>Fator de emissão e-trotineta partilhada</t>
  </si>
  <si>
    <t>Fator de emissão e-trotineta privada</t>
  </si>
  <si>
    <t>Consumo anual de electricidade num ano típico de funcionamento</t>
  </si>
  <si>
    <t xml:space="preserve">Emissões Relativas </t>
  </si>
  <si>
    <r>
      <rPr>
        <b/>
        <sz val="14"/>
        <color theme="1"/>
        <rFont val="Aptos"/>
        <family val="2"/>
      </rPr>
      <t>R</t>
    </r>
    <r>
      <rPr>
        <b/>
        <vertAlign val="subscript"/>
        <sz val="14"/>
        <color theme="1"/>
        <rFont val="Aptos"/>
        <family val="2"/>
      </rPr>
      <t>e_</t>
    </r>
    <r>
      <rPr>
        <b/>
        <sz val="14"/>
        <color theme="1"/>
        <rFont val="Aptos"/>
        <family val="2"/>
      </rPr>
      <t xml:space="preserve"> Emissões relativas</t>
    </r>
    <r>
      <rPr>
        <sz val="14"/>
        <color theme="1"/>
        <rFont val="Aptos"/>
        <family val="2"/>
      </rPr>
      <t xml:space="preserve"> Totais </t>
    </r>
  </si>
  <si>
    <t xml:space="preserve">2.1 Dados do projeto </t>
  </si>
  <si>
    <t xml:space="preserve">3.1 Dados do projeto </t>
  </si>
  <si>
    <t>3.2 Resultados</t>
  </si>
  <si>
    <t xml:space="preserve">5.1 Dados do projeto </t>
  </si>
  <si>
    <t xml:space="preserve">2.2 Resultados </t>
  </si>
  <si>
    <t>5.2 Resultados</t>
  </si>
  <si>
    <t xml:space="preserve">              </t>
  </si>
  <si>
    <t>Resultados Globais: Pressuposto da Redução da Intensidade Carbónica</t>
  </si>
  <si>
    <t xml:space="preserve"> Resultados Globais : Pressuposto da Transferência Modal</t>
  </si>
  <si>
    <t>Ficha técnica e registo de atualizações</t>
  </si>
  <si>
    <t>Região Autónoma dos Açores</t>
  </si>
  <si>
    <t>Região Autónoma da Madeira</t>
  </si>
  <si>
    <t>Grande Lisboa</t>
  </si>
  <si>
    <t>Oeste e Vale do Tejo</t>
  </si>
  <si>
    <t xml:space="preserve">Algarve </t>
  </si>
  <si>
    <t>AAAA/MM/DD</t>
  </si>
  <si>
    <t>Preencher com o nome do projeto</t>
  </si>
  <si>
    <t>Preencher com o código do projeto</t>
  </si>
  <si>
    <t>Preencher com o nome do promotor do projeto</t>
  </si>
  <si>
    <t>Preencher com o nome do programa de financiamento</t>
  </si>
  <si>
    <t>Península de Setúbal</t>
  </si>
  <si>
    <t>Continente</t>
  </si>
  <si>
    <t>Localização do projecto (NUTS 2024: NUTS I e II)</t>
  </si>
  <si>
    <r>
      <rPr>
        <b/>
        <sz val="18"/>
        <color theme="1"/>
        <rFont val="Aptos"/>
        <family val="2"/>
      </rPr>
      <t>Localização</t>
    </r>
    <r>
      <rPr>
        <sz val="18"/>
        <color theme="1"/>
        <rFont val="Aptos"/>
        <family val="2"/>
      </rPr>
      <t xml:space="preserve"> do projeto</t>
    </r>
    <r>
      <rPr>
        <b/>
        <sz val="18"/>
        <rFont val="Aptos"/>
        <family val="2"/>
      </rPr>
      <t xml:space="preserve"> </t>
    </r>
    <r>
      <rPr>
        <b/>
        <sz val="10"/>
        <rFont val="Aptos"/>
        <family val="2"/>
      </rPr>
      <t xml:space="preserve">(NUTS 2024: hierarquia cumulativa- NUTS I, II e III)                    </t>
    </r>
    <r>
      <rPr>
        <b/>
        <sz val="18"/>
        <rFont val="Aptos"/>
        <family val="2"/>
      </rPr>
      <t xml:space="preserve">                                        </t>
    </r>
    <r>
      <rPr>
        <b/>
        <sz val="11"/>
        <color theme="5" tint="-0.249977111117893"/>
        <rFont val="Aptos"/>
        <family val="2"/>
      </rPr>
      <t>preenchimento obrigatório</t>
    </r>
  </si>
  <si>
    <r>
      <rPr>
        <b/>
        <sz val="14"/>
        <color theme="1"/>
        <rFont val="Aptos"/>
        <family val="2"/>
      </rPr>
      <t>CS_Custo Sombra</t>
    </r>
    <r>
      <rPr>
        <sz val="14"/>
        <color theme="1"/>
        <rFont val="Aptos"/>
        <family val="2"/>
      </rPr>
      <t xml:space="preserve"> das emissões relativas totais </t>
    </r>
  </si>
  <si>
    <t>Outras emissões de GEE</t>
  </si>
  <si>
    <t>1.2 Quais são os indicadores e as emissões de GEE que a ferramenta permite calcular?</t>
  </si>
  <si>
    <t>Principais emissões de GEE</t>
  </si>
  <si>
    <t>Indicadores (Eletricidade)</t>
  </si>
  <si>
    <t>Indicadores (Custo-sombra)</t>
  </si>
  <si>
    <t>Indicadores de Intensidade</t>
  </si>
  <si>
    <t>Comissão Europeia</t>
  </si>
  <si>
    <t>Banco Europeu de Investimento</t>
  </si>
  <si>
    <t>1.3 Quais são os projetos abrangidos pela calculadora?</t>
  </si>
  <si>
    <t>2.1 Quais são os referenciais metodológicos da calculadora?</t>
  </si>
  <si>
    <t>Fatores de emissão padrão do transporte elétrico</t>
  </si>
  <si>
    <t>Fatores de emissão padrão do transporte a combustão</t>
  </si>
  <si>
    <t xml:space="preserve"> Projetos de transporte rodoviário de passageiros</t>
  </si>
  <si>
    <t xml:space="preserve"> Projetos de transporte ferroviário de passageiros</t>
  </si>
  <si>
    <t xml:space="preserve"> Projetos de transporte de passageiros em vias navegáveis interiores</t>
  </si>
  <si>
    <t>2. Referenciais metodológicos, pressupostos metodológicos e fatores de emissão padrão utilizados na calculadora</t>
  </si>
  <si>
    <t>Parques de estacionamento associados a interfaces modais</t>
  </si>
  <si>
    <t>Criação de zonas de baixas emissões</t>
  </si>
  <si>
    <t>Redução da Intensidade Carbónica</t>
  </si>
  <si>
    <t>2.2 Quais são os pressupostos metodológicos subjacentes ao cálculo das emissões de GEE relativas?</t>
  </si>
  <si>
    <t>2.3 Como foram estimados os fatores de emissão padrão?</t>
  </si>
  <si>
    <t>Transferência Modal</t>
  </si>
  <si>
    <t>TM1_micromobilidade</t>
  </si>
  <si>
    <t>TM2_rodovia</t>
  </si>
  <si>
    <t>TM3_ferrovia e metro</t>
  </si>
  <si>
    <t>TM4_vias navegáveis interiores</t>
  </si>
  <si>
    <t>Unidade dos fatores de emissão padrão</t>
  </si>
  <si>
    <t>1.1 Quais são os objetivos da calculadora GEE_mobilidade?</t>
  </si>
  <si>
    <t>Objectivos</t>
  </si>
  <si>
    <t>PFs_ Instruções e Perguntas Frequentes</t>
  </si>
  <si>
    <t>1.  Objetivos, indicadores e emissões de GEE, referenciais metodológicos e projetos abrangidos pela calculadora</t>
  </si>
  <si>
    <t>Passo I- Início da avaliação</t>
  </si>
  <si>
    <t>Quais as diferenças entre a NUTS 2013 e a NUTS 2024?</t>
  </si>
  <si>
    <t>A NUT III “Península de Setúbal”corresponde a municípios a sul do Tejo da extinta “Área Metropolitana de Lisboa”, coincidente com a NUTS II. A NUT III “Grande Lisboa” corresponde a  municípios a norte do Tejo da extinta “Área Metropolitana de Lisboa”, coincidente com a NUTS II. Para mais informação consultar o portal do Instituto Nacional de Estatística (INE).</t>
  </si>
  <si>
    <t>Projetos de carregamento de veículos elétricos/ navios/embarcações</t>
  </si>
  <si>
    <t>Criação de zonas condicionadas (ex. zonas 20; zonas 30)</t>
  </si>
  <si>
    <t>Todos os projetos (preenchimento obrigatório)</t>
  </si>
  <si>
    <t>1. IC1_Projetos de micromobilidade</t>
  </si>
  <si>
    <t>É um projeto relacionado com a micromobilidade?</t>
  </si>
  <si>
    <t>É um projeto relacionado com o transporte rodoviário de passageiros?</t>
  </si>
  <si>
    <t>É um projeto relacionado com o transporte ferroviário de passageiros?</t>
  </si>
  <si>
    <t>É um projeto relacionado com o transporte de passageiros em vias navegáveis interiores?</t>
  </si>
  <si>
    <t>O projeto inclui o carregamento de veículos elétricos e/ ou navios/embarcações?</t>
  </si>
  <si>
    <t>É um projeto relacionado com a micromobilidade (redes e vias, renovação ou aquisição de novas bicicletas, motociclos elétricos e trotinetas elétricas?</t>
  </si>
  <si>
    <t>É um projeto relacionado com o transporte rodoviário de passageiros (redes e vias, renovação e aquisição de nova frota de autocarros)?</t>
  </si>
  <si>
    <t xml:space="preserve">   Tr_Triagem: Que separadores preencher?</t>
  </si>
  <si>
    <t>Separadores a preencher</t>
  </si>
  <si>
    <t>Separador TM1_micromobilidade</t>
  </si>
  <si>
    <t>Separador TM2_rodovia</t>
  </si>
  <si>
    <t>Separador TM3_ferrovia e metro</t>
  </si>
  <si>
    <t>Separador TM4_vias navegáveis interiores</t>
  </si>
  <si>
    <t xml:space="preserve">Separador ID_Identificação do projeto </t>
  </si>
  <si>
    <t xml:space="preserve"> Questões: Tipos de Projetos</t>
  </si>
  <si>
    <t>Pressupostos metodológicos</t>
  </si>
  <si>
    <t>Selecionar caso se aplique ao projeto</t>
  </si>
  <si>
    <t>3. Preencher o questionário em "TR_Triagem". Este procedimento permitirá listar os separadores a preencher para o cálculo das emissões de GEE do projeto.</t>
  </si>
  <si>
    <t xml:space="preserve">Passo II- Preenchimento dos separadores listados na "Triagem" </t>
  </si>
  <si>
    <t>3.1 Como  iniciar o cálculo das emissões de GEE com a GEE_mobilidade?</t>
  </si>
  <si>
    <t>IC_todos os projetos</t>
  </si>
  <si>
    <t>3. Separador associado ao pressuposto Redução da Intensidade Carbónica:</t>
  </si>
  <si>
    <t xml:space="preserve">3. Separadores associados ao pressuposto Transferência Modal: </t>
  </si>
  <si>
    <t>2. Projetos abrangidos pelo pressuposto Intensidade Carbónica (IC): Projetos de micromobilidade; Projetos de transporte rodoviário de passageiros; Projetos de transporte ferroviário de passageiros; Projetos de transporte de passageiros em vias navegáveis interiores; Projetos de carregamento de veículos elétricos/navios/embarcações.</t>
  </si>
  <si>
    <t xml:space="preserve">4. Preencher os campos do separador "Identificação do projeto" com as informações do projeto: </t>
  </si>
  <si>
    <t>(Campos de preenchimento obrigatório )</t>
  </si>
  <si>
    <t xml:space="preserve">TM2_ rodovia (autocarros) </t>
  </si>
  <si>
    <r>
      <t>Passageiro-quilómetro:</t>
    </r>
    <r>
      <rPr>
        <sz val="14"/>
        <color theme="1"/>
        <rFont val="Aptos"/>
        <family val="2"/>
      </rPr>
      <t xml:space="preserve"> Um passageiro-quilómetro, abreviado como p.km, é a unidade de medida que representa o transporte de um passageiro por um meio de transporte definido (rodoviário, ferroviário, aéreo, marítimo, vias navegáveis interiores, etc.) ao longo de um quilómetro.</t>
    </r>
  </si>
  <si>
    <r>
      <rPr>
        <b/>
        <sz val="14"/>
        <color theme="1"/>
        <rFont val="Aptos"/>
        <family val="2"/>
      </rPr>
      <t>Emissões de GEE no cenário de referência (B</t>
    </r>
    <r>
      <rPr>
        <b/>
        <vertAlign val="subscript"/>
        <sz val="14"/>
        <color theme="1"/>
        <rFont val="Aptos"/>
        <family val="2"/>
      </rPr>
      <t>e</t>
    </r>
    <r>
      <rPr>
        <b/>
        <sz val="14"/>
        <color theme="1"/>
        <rFont val="Aptos"/>
        <family val="2"/>
      </rPr>
      <t>):</t>
    </r>
    <r>
      <rPr>
        <sz val="14"/>
        <color theme="1"/>
        <rFont val="Aptos"/>
        <family val="2"/>
      </rPr>
      <t xml:space="preserve"> As emissões de referência do projeto resultam do cenário alternativo (contrafactual) esperado que representa de forma credível as emissões antropogénicas por fontes de GEE que teriam ocorrido na ausência do projeto, estimadas para um ano médio de funcionamento.</t>
    </r>
  </si>
  <si>
    <r>
      <rPr>
        <b/>
        <sz val="14"/>
        <color theme="1"/>
        <rFont val="Aptos"/>
        <family val="2"/>
      </rPr>
      <t>Pegada de carbono:</t>
    </r>
    <r>
      <rPr>
        <sz val="14"/>
        <color theme="1"/>
        <rFont val="Aptos"/>
        <family val="2"/>
      </rPr>
      <t xml:space="preserve"> A pegada de carbono é o impacte climático (emissões de GEE) de um projeto.</t>
    </r>
  </si>
  <si>
    <r>
      <rPr>
        <b/>
        <sz val="14"/>
        <color theme="1"/>
        <rFont val="Aptos"/>
        <family val="2"/>
      </rPr>
      <t>Gases com efeito de estufa (GEE):</t>
    </r>
    <r>
      <rPr>
        <sz val="14"/>
        <color theme="1"/>
        <rFont val="Aptos"/>
        <family val="2"/>
      </rPr>
      <t xml:space="preserve"> Os GEE são os sete gases enumerados no Protocolo de Quioto: dióxido de carbono (CO</t>
    </r>
    <r>
      <rPr>
        <vertAlign val="subscript"/>
        <sz val="14"/>
        <color theme="1"/>
        <rFont val="Aptos"/>
        <family val="2"/>
      </rPr>
      <t>2</t>
    </r>
    <r>
      <rPr>
        <sz val="14"/>
        <color theme="1"/>
        <rFont val="Aptos"/>
        <family val="2"/>
      </rPr>
      <t>); metano (CH</t>
    </r>
    <r>
      <rPr>
        <vertAlign val="subscript"/>
        <sz val="14"/>
        <color theme="1"/>
        <rFont val="Aptos"/>
        <family val="2"/>
      </rPr>
      <t>4</t>
    </r>
    <r>
      <rPr>
        <sz val="14"/>
        <color theme="1"/>
        <rFont val="Aptos"/>
        <family val="2"/>
      </rPr>
      <t>); óxido nitroso (N</t>
    </r>
    <r>
      <rPr>
        <vertAlign val="subscript"/>
        <sz val="14"/>
        <color theme="1"/>
        <rFont val="Aptos"/>
        <family val="2"/>
      </rPr>
      <t>2</t>
    </r>
    <r>
      <rPr>
        <sz val="14"/>
        <color theme="1"/>
        <rFont val="Aptos"/>
        <family val="2"/>
      </rPr>
      <t>O); hidrofluorocarbonetos (HFC); perfluorocarbonetos (PFC); hexafluoreto de enxofre (SF</t>
    </r>
    <r>
      <rPr>
        <vertAlign val="subscript"/>
        <sz val="14"/>
        <color theme="1"/>
        <rFont val="Aptos"/>
        <family val="2"/>
      </rPr>
      <t>6</t>
    </r>
    <r>
      <rPr>
        <sz val="14"/>
        <color theme="1"/>
        <rFont val="Aptos"/>
        <family val="2"/>
      </rPr>
      <t>); e trifluoreto de azoto (NF</t>
    </r>
    <r>
      <rPr>
        <vertAlign val="subscript"/>
        <sz val="14"/>
        <color theme="1"/>
        <rFont val="Aptos"/>
        <family val="2"/>
      </rPr>
      <t>3</t>
    </r>
    <r>
      <rPr>
        <sz val="14"/>
        <color theme="1"/>
        <rFont val="Aptos"/>
        <family val="2"/>
      </rPr>
      <t>).</t>
    </r>
  </si>
  <si>
    <r>
      <rPr>
        <b/>
        <sz val="14"/>
        <color theme="1"/>
        <rFont val="Aptos"/>
        <family val="2"/>
      </rPr>
      <t>Potencial de aquecimento global (GWP):</t>
    </r>
    <r>
      <rPr>
        <sz val="14"/>
        <color theme="1"/>
        <rFont val="Aptos"/>
        <family val="2"/>
      </rPr>
      <t xml:space="preserve"> Fator que descreve o impacto do forçamento radiativo (grau de dano à atmosfera) de uma unidade de um determinado GEE relativamente a uma unidade de CO2 durante um determinado período de tempo.</t>
    </r>
  </si>
  <si>
    <r>
      <rPr>
        <b/>
        <sz val="14"/>
        <color theme="1"/>
        <rFont val="Aptos"/>
        <family val="2"/>
      </rPr>
      <t>Emissões relativas (R</t>
    </r>
    <r>
      <rPr>
        <b/>
        <vertAlign val="subscript"/>
        <sz val="14"/>
        <color theme="1"/>
        <rFont val="Aptos"/>
        <family val="2"/>
      </rPr>
      <t>e</t>
    </r>
    <r>
      <rPr>
        <b/>
        <sz val="14"/>
        <color theme="1"/>
        <rFont val="Aptos"/>
        <family val="2"/>
      </rPr>
      <t>):</t>
    </r>
    <r>
      <rPr>
        <sz val="14"/>
        <color theme="1"/>
        <rFont val="Aptos"/>
        <family val="2"/>
      </rPr>
      <t xml:space="preserve"> É a diferença entre as emissões absolutas (A</t>
    </r>
    <r>
      <rPr>
        <vertAlign val="subscript"/>
        <sz val="14"/>
        <color theme="1"/>
        <rFont val="Aptos"/>
        <family val="2"/>
      </rPr>
      <t>b</t>
    </r>
    <r>
      <rPr>
        <sz val="14"/>
        <color theme="1"/>
        <rFont val="Aptos"/>
        <family val="2"/>
      </rPr>
      <t>) do projeto e as emissões do cenário de referência/ contrafactual (B</t>
    </r>
    <r>
      <rPr>
        <vertAlign val="subscript"/>
        <sz val="14"/>
        <color theme="1"/>
        <rFont val="Aptos"/>
        <family val="2"/>
      </rPr>
      <t>e</t>
    </r>
    <r>
      <rPr>
        <sz val="14"/>
        <color theme="1"/>
        <rFont val="Aptos"/>
        <family val="2"/>
      </rPr>
      <t>).</t>
    </r>
  </si>
  <si>
    <r>
      <rPr>
        <b/>
        <sz val="14"/>
        <color theme="1"/>
        <rFont val="Aptos"/>
        <family val="2"/>
      </rPr>
      <t>NUTS I, II e III (2024):</t>
    </r>
    <r>
      <rPr>
        <sz val="14"/>
        <color theme="1"/>
        <rFont val="Aptos"/>
        <family val="2"/>
      </rPr>
      <t xml:space="preserve"> A União Europeia (EU) estabeleceu uma nomenclatura comum das unidades territoriais estatísticas, denominada “NUTS”, a fim de permitir a recolha, o tratamento e a divulgação de estatísticas regionais harmonizadas na UE. Esta nomenclatura foi criada pelo Eurostat no início dos anos 1970, destinando-se igualmente às análises socioeconómicas das regiões e à elaboração das intervenções no contexto da política de coesão da UE. Em 2024, entrou em vigor uma nova divisão regional em Portugal –Nomenclatura das unidades territoriais para fins estatísticos, versão de 2024, que substitui a divisão territorial vigente até então (NUTS 2013).</t>
    </r>
  </si>
  <si>
    <t>Objetivo do separador</t>
  </si>
  <si>
    <t>Passo III- Interpretação dos resultados</t>
  </si>
  <si>
    <t>3.2 Como  interpretar os resultados das emissões relativas e das emissões evitadas ?</t>
  </si>
  <si>
    <t>Exemplos de projetos</t>
  </si>
  <si>
    <t xml:space="preserve"> Integração com outras tipologias de projetos</t>
  </si>
  <si>
    <t>Selecionar uma opção:</t>
  </si>
  <si>
    <t>Passo II- Outros fatores de emissão</t>
  </si>
  <si>
    <t xml:space="preserve"> I- Fator de emissão de GEE do utilizador</t>
  </si>
  <si>
    <t>Passo I- Fator de Emissão da Eletricidade (obrigatório)</t>
  </si>
  <si>
    <t>Outros consumos de eletricidade</t>
  </si>
  <si>
    <t>Como posso obter o fator de emissão de GEE dos autocarros do projeto?</t>
  </si>
  <si>
    <t>Como posso calcular o fator de emissão do transporte elétrico?</t>
  </si>
  <si>
    <t>Dados transporte</t>
  </si>
  <si>
    <t>kg CO2e/p.km</t>
  </si>
  <si>
    <t>kg CO2e/kWh</t>
  </si>
  <si>
    <r>
      <t xml:space="preserve">Fator de emissão de GEE - </t>
    </r>
    <r>
      <rPr>
        <b/>
        <sz val="14"/>
        <color theme="1"/>
        <rFont val="Aptos"/>
        <family val="2"/>
      </rPr>
      <t>combustão</t>
    </r>
  </si>
  <si>
    <t>Mobilidade e funcionalidade do território nas Áreas Metropolitanas do Porto e de Lisboa : 2017</t>
  </si>
  <si>
    <t>Informação adicional</t>
  </si>
  <si>
    <t>Passo I- Dados do Projeto</t>
  </si>
  <si>
    <r>
      <t>1. Introduzir o fator de emissão de GEE (campo "Valor" a</t>
    </r>
    <r>
      <rPr>
        <b/>
        <sz val="14"/>
        <color rgb="FF002060"/>
        <rFont val="Aptos"/>
        <family val="2"/>
      </rPr>
      <t xml:space="preserve"> AZUL escuro</t>
    </r>
    <r>
      <rPr>
        <sz val="14"/>
        <rFont val="Aptos"/>
        <family val="2"/>
      </rPr>
      <t xml:space="preserve">) para a eletricidade que pretende utilizar nos cálculos de emissões de GEE. A introdução deste fator de emissão é </t>
    </r>
    <r>
      <rPr>
        <b/>
        <sz val="14"/>
        <rFont val="Aptos"/>
        <family val="2"/>
      </rPr>
      <t>obrigatória</t>
    </r>
    <r>
      <rPr>
        <sz val="14"/>
        <rFont val="Aptos"/>
        <family val="2"/>
      </rPr>
      <t xml:space="preserve"> para a realização dos cálculos.</t>
    </r>
  </si>
  <si>
    <t>Fonte e ano de referência do fator de emissão de GEE</t>
  </si>
  <si>
    <t xml:space="preserve">Minibus </t>
  </si>
  <si>
    <t>Autocarro Standard</t>
  </si>
  <si>
    <t xml:space="preserve">Autocarros Articulados/ Bus Rapid Transit </t>
  </si>
  <si>
    <t>1. Selecionar a opção disponibilizada no campo "Fator de Emissão a utilizar" relativa ao fator de emissão de GEE a utilizar para calcular as emissões de GEE dos tipos de autocarros incluídos no projeto:</t>
  </si>
  <si>
    <t>1. A GEE_mobilidade permite o cálculo do Custo-sombra de emissões ou reduções de GEE do projeto em EUR/tCO2e, a preços de 2016. Fonte: EIB Group Climate Bank Roadmap 2021-2025</t>
  </si>
  <si>
    <t>Minibus: elétrico</t>
  </si>
  <si>
    <t>Minibus: combustão</t>
  </si>
  <si>
    <t>Autocarro Standard: elétrico</t>
  </si>
  <si>
    <t>Autocarro Standard: combustão</t>
  </si>
  <si>
    <r>
      <t xml:space="preserve">Fator de emissão GEE (eletricidade) do utilizador </t>
    </r>
    <r>
      <rPr>
        <b/>
        <sz val="14"/>
        <color theme="1"/>
        <rFont val="Aptos"/>
        <family val="2"/>
      </rPr>
      <t>(obrigatório)</t>
    </r>
  </si>
  <si>
    <t>Instruções</t>
  </si>
  <si>
    <r>
      <t xml:space="preserve">2. </t>
    </r>
    <r>
      <rPr>
        <b/>
        <sz val="14"/>
        <rFont val="Aptos"/>
        <family val="2"/>
      </rPr>
      <t>Nota:</t>
    </r>
    <r>
      <rPr>
        <sz val="14"/>
        <rFont val="Aptos"/>
        <family val="2"/>
      </rPr>
      <t xml:space="preserve"> caso seja utilizada eletricidade proveniente de fontes de energia renováveis o fator de emissão a utilizar é       </t>
    </r>
  </si>
  <si>
    <t xml:space="preserve">      0 (zero) kgCO2e/ kWh</t>
  </si>
  <si>
    <t>Autocarros Articulados/ Bus Rapid Transit: elétrico</t>
  </si>
  <si>
    <t>Autocarros Articulados/ Bus Rapid Transit: combustão</t>
  </si>
  <si>
    <r>
      <t xml:space="preserve">Qual a TM expectável do </t>
    </r>
    <r>
      <rPr>
        <b/>
        <sz val="14"/>
        <color theme="1"/>
        <rFont val="Aptos"/>
        <family val="2"/>
      </rPr>
      <t>modo pedonal + procura induzida (indução)</t>
    </r>
    <r>
      <rPr>
        <sz val="14"/>
        <color theme="1"/>
        <rFont val="Aptos"/>
        <family val="2"/>
      </rPr>
      <t xml:space="preserve"> para </t>
    </r>
    <r>
      <rPr>
        <b/>
        <sz val="14"/>
        <color theme="1"/>
        <rFont val="Aptos"/>
        <family val="2"/>
      </rPr>
      <t>minibus elétrico</t>
    </r>
    <r>
      <rPr>
        <sz val="14"/>
        <color theme="1"/>
        <rFont val="Aptos"/>
        <family val="2"/>
      </rPr>
      <t xml:space="preserve">? </t>
    </r>
  </si>
  <si>
    <t>Fonte dos dados e metodologia utilizada para estimar as transferências modais</t>
  </si>
  <si>
    <t xml:space="preserve">Passo I- Valor das Transferências Modais </t>
  </si>
  <si>
    <t>Nota 1</t>
  </si>
  <si>
    <t>Minibus: Elétrico</t>
  </si>
  <si>
    <r>
      <t xml:space="preserve">Qual a TM expectável do </t>
    </r>
    <r>
      <rPr>
        <b/>
        <sz val="14"/>
        <color theme="1"/>
        <rFont val="Aptos"/>
        <family val="2"/>
      </rPr>
      <t xml:space="preserve">modo pedonal + procura induzida (indução) </t>
    </r>
    <r>
      <rPr>
        <sz val="14"/>
        <color theme="1"/>
        <rFont val="Aptos"/>
        <family val="2"/>
      </rPr>
      <t xml:space="preserve">para </t>
    </r>
    <r>
      <rPr>
        <b/>
        <sz val="14"/>
        <color theme="1"/>
        <rFont val="Aptos"/>
        <family val="2"/>
      </rPr>
      <t xml:space="preserve"> autocarro standard elétrico</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</si>
  <si>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t>
    </r>
    <r>
      <rPr>
        <b/>
        <sz val="14"/>
        <color theme="1"/>
        <rFont val="Aptos"/>
        <family val="2"/>
      </rPr>
      <t>minibus a combustão</t>
    </r>
    <r>
      <rPr>
        <sz val="14"/>
        <color theme="1"/>
        <rFont val="Aptos"/>
        <family val="2"/>
      </rPr>
      <t xml:space="preserve">? </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</si>
  <si>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autocarro standard elétrico</t>
    </r>
    <r>
      <rPr>
        <sz val="14"/>
        <color theme="1"/>
        <rFont val="Aptos"/>
        <family val="2"/>
      </rPr>
      <t>?</t>
    </r>
  </si>
  <si>
    <r>
      <t xml:space="preserve">Qual a TM expectável do </t>
    </r>
    <r>
      <rPr>
        <b/>
        <sz val="14"/>
        <color theme="1"/>
        <rFont val="Aptos"/>
        <family val="2"/>
      </rPr>
      <t xml:space="preserve">modo pedonal + procura induzida (indução) </t>
    </r>
    <r>
      <rPr>
        <sz val="14"/>
        <color theme="1"/>
        <rFont val="Aptos"/>
        <family val="2"/>
      </rPr>
      <t xml:space="preserve"> para </t>
    </r>
    <r>
      <rPr>
        <b/>
        <sz val="14"/>
        <color theme="1"/>
        <rFont val="Aptos"/>
        <family val="2"/>
      </rPr>
      <t xml:space="preserve"> autocarro standard a combustível</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</si>
  <si>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o </t>
    </r>
    <r>
      <rPr>
        <b/>
        <sz val="14"/>
        <color theme="1"/>
        <rFont val="Aptos"/>
        <family val="2"/>
      </rPr>
      <t>autocarro articulado/BRT elétrico</t>
    </r>
    <r>
      <rPr>
        <sz val="14"/>
        <color theme="1"/>
        <rFont val="Aptos"/>
        <family val="2"/>
      </rPr>
      <t>?</t>
    </r>
  </si>
  <si>
    <r>
      <t xml:space="preserve">Qual a TM expectável do </t>
    </r>
    <r>
      <rPr>
        <b/>
        <sz val="14"/>
        <color theme="1"/>
        <rFont val="Aptos"/>
        <family val="2"/>
      </rPr>
      <t xml:space="preserve">modo pedonal + procura induzida (indução) </t>
    </r>
    <r>
      <rPr>
        <sz val="14"/>
        <color theme="1"/>
        <rFont val="Aptos"/>
        <family val="2"/>
      </rPr>
      <t xml:space="preserve"> para o </t>
    </r>
    <r>
      <rPr>
        <b/>
        <sz val="14"/>
        <color theme="1"/>
        <rFont val="Aptos"/>
        <family val="2"/>
      </rPr>
      <t>autocarro articulado/BRT a combustão</t>
    </r>
    <r>
      <rPr>
        <sz val="14"/>
        <color theme="1"/>
        <rFont val="Aptos"/>
        <family val="2"/>
      </rPr>
      <t>?</t>
    </r>
  </si>
  <si>
    <t>1. Eletricidade Total consumida no transporte elétrico em kWh/ano</t>
  </si>
  <si>
    <r>
      <t xml:space="preserve">1. Projetos que incluem a </t>
    </r>
    <r>
      <rPr>
        <b/>
        <sz val="14"/>
        <rFont val="Aptos"/>
        <family val="2"/>
      </rPr>
      <t>renovação</t>
    </r>
    <r>
      <rPr>
        <sz val="14"/>
        <rFont val="Aptos"/>
        <family val="2"/>
      </rPr>
      <t xml:space="preserve"> de bicicletas (elétricas e não elétricas), motociclos elétricos e trotinetas elétricas. </t>
    </r>
    <r>
      <rPr>
        <b/>
        <sz val="14"/>
        <rFont val="Aptos"/>
        <family val="2"/>
      </rPr>
      <t>Exemplo:</t>
    </r>
    <r>
      <rPr>
        <sz val="14"/>
        <rFont val="Aptos"/>
        <family val="2"/>
      </rPr>
      <t xml:space="preserve"> Substituição de 10 bicicletas elétricas por 10 bicicletas elétricas com menor consumo de eletricidade por pessoa-quilómetro.</t>
    </r>
  </si>
  <si>
    <r>
      <t xml:space="preserve">2. Projetos que incluem a </t>
    </r>
    <r>
      <rPr>
        <b/>
        <sz val="14"/>
        <rFont val="Aptos"/>
        <family val="2"/>
      </rPr>
      <t>aquisição</t>
    </r>
    <r>
      <rPr>
        <sz val="14"/>
        <rFont val="Aptos"/>
        <family val="2"/>
      </rPr>
      <t xml:space="preserve"> de </t>
    </r>
    <r>
      <rPr>
        <b/>
        <sz val="14"/>
        <rFont val="Aptos"/>
        <family val="2"/>
      </rPr>
      <t>novas</t>
    </r>
    <r>
      <rPr>
        <sz val="14"/>
        <rFont val="Aptos"/>
        <family val="2"/>
      </rPr>
      <t xml:space="preserve"> bicicletas (elétricas e não elétricas), motociclos elétricos e trotinetas elétricas. </t>
    </r>
    <r>
      <rPr>
        <b/>
        <sz val="14"/>
        <rFont val="Aptos"/>
        <family val="2"/>
      </rPr>
      <t>Exemplo:</t>
    </r>
    <r>
      <rPr>
        <sz val="14"/>
        <rFont val="Aptos"/>
        <family val="2"/>
      </rPr>
      <t xml:space="preserve"> Compra de 10 novas bicicletas elétricas partilhadas com o objetivo de intensificar a oferta.</t>
    </r>
  </si>
  <si>
    <r>
      <t xml:space="preserve">1. Projetos que incluem a </t>
    </r>
    <r>
      <rPr>
        <b/>
        <sz val="14"/>
        <rFont val="Aptos"/>
        <family val="2"/>
      </rPr>
      <t>renovação</t>
    </r>
    <r>
      <rPr>
        <sz val="14"/>
        <rFont val="Aptos"/>
        <family val="2"/>
      </rPr>
      <t xml:space="preserve"> </t>
    </r>
    <r>
      <rPr>
        <b/>
        <sz val="14"/>
        <rFont val="Aptos"/>
        <family val="2"/>
      </rPr>
      <t xml:space="preserve">de frota </t>
    </r>
    <r>
      <rPr>
        <sz val="14"/>
        <rFont val="Aptos"/>
        <family val="2"/>
      </rPr>
      <t xml:space="preserve">de autocarros. </t>
    </r>
    <r>
      <rPr>
        <b/>
        <sz val="14"/>
        <rFont val="Aptos"/>
        <family val="2"/>
      </rPr>
      <t>Exemplo:</t>
    </r>
    <r>
      <rPr>
        <sz val="14"/>
        <rFont val="Aptos"/>
        <family val="2"/>
      </rPr>
      <t xml:space="preserve"> Substituição de 10 autocarros a gasóleo por 10 autocarros elétricos (bateria).</t>
    </r>
  </si>
  <si>
    <r>
      <t xml:space="preserve">2. Projetos que incluem a </t>
    </r>
    <r>
      <rPr>
        <b/>
        <sz val="14"/>
        <rFont val="Aptos"/>
        <family val="2"/>
      </rPr>
      <t>aquisição</t>
    </r>
    <r>
      <rPr>
        <sz val="14"/>
        <rFont val="Aptos"/>
        <family val="2"/>
      </rPr>
      <t xml:space="preserve"> de </t>
    </r>
    <r>
      <rPr>
        <b/>
        <sz val="14"/>
        <rFont val="Aptos"/>
        <family val="2"/>
      </rPr>
      <t xml:space="preserve">nova frota </t>
    </r>
    <r>
      <rPr>
        <sz val="14"/>
        <rFont val="Aptos"/>
        <family val="2"/>
      </rPr>
      <t xml:space="preserve">de autocarros. </t>
    </r>
    <r>
      <rPr>
        <b/>
        <sz val="14"/>
        <rFont val="Aptos"/>
        <family val="2"/>
      </rPr>
      <t>Exemplo:</t>
    </r>
    <r>
      <rPr>
        <sz val="14"/>
        <rFont val="Aptos"/>
        <family val="2"/>
      </rPr>
      <t xml:space="preserve"> Compra de 10 novos autocarros com o objetivo de intensificar a oferta.</t>
    </r>
  </si>
  <si>
    <r>
      <t xml:space="preserve">1. Projetos que incluem a </t>
    </r>
    <r>
      <rPr>
        <b/>
        <sz val="14"/>
        <rFont val="Aptos"/>
        <family val="2"/>
      </rPr>
      <t>renovação</t>
    </r>
    <r>
      <rPr>
        <sz val="14"/>
        <rFont val="Aptos"/>
        <family val="2"/>
      </rPr>
      <t xml:space="preserve"> de material circulante. </t>
    </r>
    <r>
      <rPr>
        <b/>
        <sz val="14"/>
        <rFont val="Aptos"/>
        <family val="2"/>
      </rPr>
      <t>Exemplo:</t>
    </r>
    <r>
      <rPr>
        <sz val="14"/>
        <rFont val="Aptos"/>
        <family val="2"/>
      </rPr>
      <t xml:space="preserve"> Substituição de 10 comboios a gasóleo por 10 comboios movidos a eletricidade.</t>
    </r>
  </si>
  <si>
    <r>
      <t xml:space="preserve">2. Projetos que incluem a </t>
    </r>
    <r>
      <rPr>
        <b/>
        <sz val="14"/>
        <rFont val="Aptos"/>
        <family val="2"/>
      </rPr>
      <t>aquisição</t>
    </r>
    <r>
      <rPr>
        <sz val="14"/>
        <rFont val="Aptos"/>
        <family val="2"/>
      </rPr>
      <t xml:space="preserve"> de </t>
    </r>
    <r>
      <rPr>
        <b/>
        <sz val="14"/>
        <rFont val="Aptos"/>
        <family val="2"/>
      </rPr>
      <t>novo</t>
    </r>
    <r>
      <rPr>
        <sz val="14"/>
        <rFont val="Aptos"/>
        <family val="2"/>
      </rPr>
      <t xml:space="preserve"> material circulante. </t>
    </r>
    <r>
      <rPr>
        <b/>
        <sz val="14"/>
        <rFont val="Aptos"/>
        <family val="2"/>
      </rPr>
      <t>Exemplo:</t>
    </r>
    <r>
      <rPr>
        <sz val="14"/>
        <rFont val="Aptos"/>
        <family val="2"/>
      </rPr>
      <t xml:space="preserve"> Compra de 10 novos comboios com o objetivo de intensificar a oferta.</t>
    </r>
  </si>
  <si>
    <r>
      <t xml:space="preserve">1. Projetos que incluem a </t>
    </r>
    <r>
      <rPr>
        <b/>
        <sz val="14"/>
        <rFont val="Aptos"/>
        <family val="2"/>
      </rPr>
      <t>renovação</t>
    </r>
    <r>
      <rPr>
        <sz val="14"/>
        <rFont val="Aptos"/>
        <family val="2"/>
      </rPr>
      <t xml:space="preserve"> </t>
    </r>
    <r>
      <rPr>
        <b/>
        <sz val="14"/>
        <rFont val="Aptos"/>
        <family val="2"/>
      </rPr>
      <t xml:space="preserve">de frota </t>
    </r>
    <r>
      <rPr>
        <sz val="14"/>
        <rFont val="Aptos"/>
        <family val="2"/>
      </rPr>
      <t xml:space="preserve">de navios/ embarcações. </t>
    </r>
    <r>
      <rPr>
        <b/>
        <sz val="14"/>
        <rFont val="Aptos"/>
        <family val="2"/>
      </rPr>
      <t>Exemplo:</t>
    </r>
    <r>
      <rPr>
        <sz val="14"/>
        <rFont val="Aptos"/>
        <family val="2"/>
      </rPr>
      <t xml:space="preserve"> Substituição de 10 embarcações a gasóleo por 10 embarcações elétricas (bateria).</t>
    </r>
  </si>
  <si>
    <r>
      <t xml:space="preserve">2. Projetos que incluem a </t>
    </r>
    <r>
      <rPr>
        <b/>
        <sz val="14"/>
        <rFont val="Aptos"/>
        <family val="2"/>
      </rPr>
      <t>aquisição</t>
    </r>
    <r>
      <rPr>
        <sz val="14"/>
        <rFont val="Aptos"/>
        <family val="2"/>
      </rPr>
      <t xml:space="preserve"> de </t>
    </r>
    <r>
      <rPr>
        <b/>
        <sz val="14"/>
        <rFont val="Aptos"/>
        <family val="2"/>
      </rPr>
      <t xml:space="preserve">nova frota </t>
    </r>
    <r>
      <rPr>
        <sz val="14"/>
        <rFont val="Aptos"/>
        <family val="2"/>
      </rPr>
      <t xml:space="preserve">de navios/embarcações. </t>
    </r>
    <r>
      <rPr>
        <b/>
        <sz val="14"/>
        <rFont val="Aptos"/>
        <family val="2"/>
      </rPr>
      <t>Exemplo:</t>
    </r>
    <r>
      <rPr>
        <sz val="14"/>
        <rFont val="Aptos"/>
        <family val="2"/>
      </rPr>
      <t xml:space="preserve"> Compra de 10 novas embarcações com o objetivo de intensificar a oferta.</t>
    </r>
  </si>
  <si>
    <r>
      <t xml:space="preserve">1. Projetos que podem incluir a construção de parques de estacionamento num interface modal. </t>
    </r>
    <r>
      <rPr>
        <b/>
        <sz val="14"/>
        <rFont val="Aptos"/>
        <family val="2"/>
      </rPr>
      <t>Exemplo:</t>
    </r>
    <r>
      <rPr>
        <sz val="14"/>
        <rFont val="Aptos"/>
        <family val="2"/>
      </rPr>
      <t xml:space="preserve"> Construção de um parque de estacionamento para 100 veículos junto a uma estação de metro e a uma estação de bicicletas partilhadas. </t>
    </r>
  </si>
  <si>
    <r>
      <t xml:space="preserve">1. O pressuposto da Transferência Modal (TM) refere-se à transição de um tipo de transporte para outro para efeitos de deslocação. </t>
    </r>
    <r>
      <rPr>
        <b/>
        <sz val="14"/>
        <rFont val="Aptos"/>
        <family val="2"/>
      </rPr>
      <t>Exemplo:</t>
    </r>
    <r>
      <rPr>
        <sz val="14"/>
        <rFont val="Aptos"/>
        <family val="2"/>
      </rPr>
      <t xml:space="preserve"> Transição de autocarro para bicicleta elétrica partilhada para efeitos de deslocação associada a movimentos pendulares. </t>
    </r>
  </si>
  <si>
    <r>
      <t xml:space="preserve">1. Iniciar cada </t>
    </r>
    <r>
      <rPr>
        <b/>
        <sz val="14"/>
        <rFont val="Aptos"/>
        <family val="2"/>
      </rPr>
      <t xml:space="preserve">nova avaliação </t>
    </r>
    <r>
      <rPr>
        <sz val="14"/>
        <rFont val="Aptos"/>
        <family val="2"/>
      </rPr>
      <t xml:space="preserve">de emissões de GEE </t>
    </r>
    <r>
      <rPr>
        <b/>
        <sz val="14"/>
        <rFont val="Aptos"/>
        <family val="2"/>
      </rPr>
      <t>num ficheiro Excel novo</t>
    </r>
    <r>
      <rPr>
        <sz val="14"/>
        <rFont val="Aptos"/>
        <family val="2"/>
      </rPr>
      <t>.</t>
    </r>
  </si>
  <si>
    <r>
      <t xml:space="preserve">2. Ler atentamente as </t>
    </r>
    <r>
      <rPr>
        <b/>
        <sz val="14"/>
        <rFont val="Aptos"/>
        <family val="2"/>
      </rPr>
      <t xml:space="preserve">Instruções e Perguntas Frequentes </t>
    </r>
    <r>
      <rPr>
        <sz val="14"/>
        <rFont val="Aptos"/>
        <family val="2"/>
      </rPr>
      <t>no inicio de cada avaliação e sempre que existirem dúvidas no preenchimento dos separadores.</t>
    </r>
  </si>
  <si>
    <r>
      <rPr>
        <b/>
        <sz val="14"/>
        <rFont val="Aptos"/>
        <family val="2"/>
      </rPr>
      <t>- Localização do projeto</t>
    </r>
    <r>
      <rPr>
        <sz val="14"/>
        <rFont val="Aptos"/>
        <family val="2"/>
      </rPr>
      <t xml:space="preserve"> (NUTS 2024: hierarquia cumulativa- NUTS I, II e III). Indicar qual a a localização do projeto considerando as NUTS de 2024. </t>
    </r>
    <r>
      <rPr>
        <b/>
        <sz val="14"/>
        <rFont val="Aptos"/>
        <family val="2"/>
      </rPr>
      <t xml:space="preserve">Nota: </t>
    </r>
    <r>
      <rPr>
        <sz val="14"/>
        <rFont val="Aptos"/>
        <family val="2"/>
      </rPr>
      <t xml:space="preserve">Consultar o separador </t>
    </r>
    <r>
      <rPr>
        <b/>
        <sz val="14"/>
        <rFont val="Aptos"/>
        <family val="2"/>
      </rPr>
      <t xml:space="preserve">"Glossário" </t>
    </r>
    <r>
      <rPr>
        <sz val="14"/>
        <rFont val="Aptos"/>
        <family val="2"/>
      </rPr>
      <t xml:space="preserve">para esclarecer dúvidas sobre as NUTS 2024. </t>
    </r>
    <r>
      <rPr>
        <b/>
        <sz val="14"/>
        <rFont val="Aptos"/>
        <family val="2"/>
      </rPr>
      <t xml:space="preserve">Exemplo: </t>
    </r>
    <r>
      <rPr>
        <sz val="14"/>
        <rFont val="Aptos"/>
        <family val="2"/>
      </rPr>
      <t>No caso de um projeto de expansão das linhas de metro a norte do Rio Tejo deve ser selecionada a opção "Grande Lisboa".</t>
    </r>
  </si>
  <si>
    <r>
      <t xml:space="preserve">1. Ler atentamente as </t>
    </r>
    <r>
      <rPr>
        <b/>
        <sz val="14"/>
        <rFont val="Aptos"/>
        <family val="2"/>
      </rPr>
      <t>instruções</t>
    </r>
    <r>
      <rPr>
        <sz val="14"/>
        <rFont val="Aptos"/>
        <family val="2"/>
      </rPr>
      <t xml:space="preserve"> existentes em cada separador para o preenchimento das tabelas. Consultar </t>
    </r>
    <r>
      <rPr>
        <b/>
        <sz val="14"/>
        <rFont val="Aptos"/>
        <family val="2"/>
      </rPr>
      <t xml:space="preserve">as caixas "info" a laranja </t>
    </r>
    <r>
      <rPr>
        <sz val="14"/>
        <rFont val="Aptos"/>
        <family val="2"/>
      </rPr>
      <t>para informações adicionais.</t>
    </r>
  </si>
  <si>
    <r>
      <t xml:space="preserve">(A) Seguir as setas </t>
    </r>
    <r>
      <rPr>
        <b/>
        <sz val="14"/>
        <color rgb="FF0070C0"/>
        <rFont val="Aptos"/>
        <family val="2"/>
      </rPr>
      <t>AZUIS</t>
    </r>
    <r>
      <rPr>
        <sz val="14"/>
        <rFont val="Aptos"/>
        <family val="2"/>
      </rPr>
      <t xml:space="preserve"> para o preenchimento das tabelas</t>
    </r>
  </si>
  <si>
    <r>
      <t xml:space="preserve">(C) Preencher </t>
    </r>
    <r>
      <rPr>
        <b/>
        <sz val="14"/>
        <rFont val="Aptos"/>
        <family val="2"/>
      </rPr>
      <t>obrigatoriamente</t>
    </r>
    <r>
      <rPr>
        <sz val="14"/>
        <rFont val="Aptos"/>
        <family val="2"/>
      </rPr>
      <t xml:space="preserve"> o campo relativo ao </t>
    </r>
    <r>
      <rPr>
        <b/>
        <sz val="14"/>
        <rFont val="Aptos"/>
        <family val="2"/>
      </rPr>
      <t>Fator de Emissão de GEE da eletricidade</t>
    </r>
    <r>
      <rPr>
        <sz val="14"/>
        <rFont val="Aptos"/>
        <family val="2"/>
      </rPr>
      <t xml:space="preserve"> a</t>
    </r>
    <r>
      <rPr>
        <b/>
        <sz val="14"/>
        <color theme="4" tint="-0.499984740745262"/>
        <rFont val="Aptos"/>
        <family val="2"/>
      </rPr>
      <t xml:space="preserve"> AZUL ESCURO</t>
    </r>
    <r>
      <rPr>
        <b/>
        <sz val="14"/>
        <rFont val="Aptos"/>
        <family val="2"/>
      </rPr>
      <t xml:space="preserve"> (obrigatório). </t>
    </r>
    <r>
      <rPr>
        <b/>
        <u/>
        <sz val="14"/>
        <rFont val="Aptos"/>
        <family val="2"/>
      </rPr>
      <t>Não existirão resultados sem este campo estar preenchido.</t>
    </r>
  </si>
  <si>
    <r>
      <t xml:space="preserve">(D) Conferir sempre as unidades dos dados de actividade solicitados de modo a evitar erros nos resultados. </t>
    </r>
    <r>
      <rPr>
        <b/>
        <sz val="14"/>
        <rFont val="Aptos"/>
        <family val="2"/>
      </rPr>
      <t xml:space="preserve">Nota: </t>
    </r>
    <r>
      <rPr>
        <sz val="14"/>
        <rFont val="Aptos"/>
        <family val="2"/>
      </rPr>
      <t>A qualidade dos dados introduzidos pelo utilizador determina a qualidade dos resultados.</t>
    </r>
  </si>
  <si>
    <r>
      <t>1. Os resultados relativos às emissões do projeto podem ser visualizados na tabela</t>
    </r>
    <r>
      <rPr>
        <b/>
        <sz val="14"/>
        <rFont val="Aptos"/>
        <family val="2"/>
      </rPr>
      <t xml:space="preserve"> "3. Resultados"</t>
    </r>
    <r>
      <rPr>
        <sz val="14"/>
        <rFont val="Aptos"/>
        <family val="2"/>
      </rPr>
      <t xml:space="preserve"> ou juntamente com as outras componentes do projeto no </t>
    </r>
    <r>
      <rPr>
        <b/>
        <sz val="14"/>
        <rFont val="Aptos"/>
        <family val="2"/>
      </rPr>
      <t>separador "RE_Resultados".</t>
    </r>
  </si>
  <si>
    <t>3. Instruções para a utilização da GEE_mobilidade</t>
  </si>
  <si>
    <r>
      <rPr>
        <b/>
        <sz val="14"/>
        <color theme="1"/>
        <rFont val="Aptos"/>
        <family val="2"/>
      </rPr>
      <t>CS: Custo-Sombra</t>
    </r>
    <r>
      <rPr>
        <sz val="14"/>
        <color theme="1"/>
        <rFont val="Aptos"/>
        <family val="2"/>
      </rPr>
      <t xml:space="preserve"> das emissões            relativas totais</t>
    </r>
  </si>
  <si>
    <t>SEM ProdT</t>
  </si>
  <si>
    <r>
      <rPr>
        <b/>
        <sz val="14"/>
        <color theme="1"/>
        <rFont val="Aptos"/>
        <family val="2"/>
      </rPr>
      <t>Consumo de eletricidade  (sem ProdT)</t>
    </r>
    <r>
      <rPr>
        <sz val="14"/>
        <color theme="1"/>
        <rFont val="Aptos"/>
        <family val="2"/>
      </rPr>
      <t xml:space="preserve"> </t>
    </r>
  </si>
  <si>
    <t>COM ProdT</t>
  </si>
  <si>
    <r>
      <t>5. Interpretação dos resultados (emissões evitadas = - R</t>
    </r>
    <r>
      <rPr>
        <b/>
        <vertAlign val="subscript"/>
        <sz val="14"/>
        <rFont val="Aptos"/>
        <family val="2"/>
      </rPr>
      <t>e</t>
    </r>
    <r>
      <rPr>
        <b/>
        <sz val="14"/>
        <rFont val="Aptos"/>
        <family val="2"/>
      </rPr>
      <t>= B</t>
    </r>
    <r>
      <rPr>
        <b/>
        <vertAlign val="subscript"/>
        <sz val="14"/>
        <rFont val="Aptos"/>
        <family val="2"/>
      </rPr>
      <t>e</t>
    </r>
    <r>
      <rPr>
        <b/>
        <sz val="14"/>
        <rFont val="Aptos"/>
        <family val="2"/>
      </rPr>
      <t>-</t>
    </r>
    <r>
      <rPr>
        <b/>
        <vertAlign val="subscript"/>
        <sz val="14"/>
        <rFont val="Aptos"/>
        <family val="2"/>
      </rPr>
      <t xml:space="preserve"> </t>
    </r>
    <r>
      <rPr>
        <b/>
        <sz val="14"/>
        <rFont val="Aptos"/>
        <family val="2"/>
      </rPr>
      <t>A</t>
    </r>
    <r>
      <rPr>
        <b/>
        <vertAlign val="subscript"/>
        <sz val="14"/>
        <rFont val="Aptos"/>
        <family val="2"/>
      </rPr>
      <t>b</t>
    </r>
    <r>
      <rPr>
        <b/>
        <sz val="14"/>
        <rFont val="Aptos"/>
        <family val="2"/>
      </rPr>
      <t>)</t>
    </r>
  </si>
  <si>
    <r>
      <t>4. Interpretação dos resultados (emissões relativas = R</t>
    </r>
    <r>
      <rPr>
        <b/>
        <vertAlign val="subscript"/>
        <sz val="14"/>
        <rFont val="Aptos"/>
        <family val="2"/>
      </rPr>
      <t>e</t>
    </r>
    <r>
      <rPr>
        <b/>
        <sz val="14"/>
        <rFont val="Aptos"/>
        <family val="2"/>
      </rPr>
      <t>= A</t>
    </r>
    <r>
      <rPr>
        <b/>
        <vertAlign val="subscript"/>
        <sz val="14"/>
        <rFont val="Aptos"/>
        <family val="2"/>
      </rPr>
      <t>b</t>
    </r>
    <r>
      <rPr>
        <b/>
        <sz val="14"/>
        <rFont val="Aptos"/>
        <family val="2"/>
      </rPr>
      <t>-B</t>
    </r>
    <r>
      <rPr>
        <b/>
        <vertAlign val="subscript"/>
        <sz val="14"/>
        <rFont val="Aptos"/>
        <family val="2"/>
      </rPr>
      <t>e</t>
    </r>
    <r>
      <rPr>
        <b/>
        <sz val="14"/>
        <rFont val="Aptos"/>
        <family val="2"/>
      </rPr>
      <t>)</t>
    </r>
  </si>
  <si>
    <t>Passo II- Especificar a Metodologia</t>
  </si>
  <si>
    <t xml:space="preserve">Autocarros Articulados/ Bus Rapid Transit: elétrico  </t>
  </si>
  <si>
    <t xml:space="preserve">Autocarros Articulados/ Bus Rapid Transit: combustão  </t>
  </si>
  <si>
    <t>tCO2e/ ano</t>
  </si>
  <si>
    <t>tCO2e/p.km</t>
  </si>
  <si>
    <t>tCO2e/ano</t>
  </si>
  <si>
    <t>3.2 Resultados (Subtotais)</t>
  </si>
  <si>
    <t>Aplicabilidade</t>
  </si>
  <si>
    <r>
      <rPr>
        <b/>
        <sz val="14"/>
        <rFont val="Aptos"/>
        <family val="2"/>
      </rPr>
      <t>Redução da Intensidade Carbónica (IC):</t>
    </r>
    <r>
      <rPr>
        <sz val="14"/>
        <rFont val="Aptos"/>
        <family val="2"/>
      </rPr>
      <t xml:space="preserve"> Implica a existência de uma alteração tecnológica no tipo de transporte a adquirir no projeto, de modo a permitir uma potencial redução das emissões de GEE totais por unidade (no setor dos transportes esta unidade é geralmente o passageiro-quilómetro). Aplica-se na substituição de veículos (micromobilidade), na renovação de frota/ material circulante e em projetos de carregamento de veículos elétricos e/ou navios/embarcações.</t>
    </r>
  </si>
  <si>
    <t>É um projeto de criação de parques de estacionamento junto a interfaces modais</t>
  </si>
  <si>
    <t>Separador TM5_parques estacionamento</t>
  </si>
  <si>
    <t xml:space="preserve">Minibus: elétrico </t>
  </si>
  <si>
    <t xml:space="preserve">Minibus: combustão </t>
  </si>
  <si>
    <r>
      <t xml:space="preserve">Fator de emissão de GEE - </t>
    </r>
    <r>
      <rPr>
        <b/>
        <sz val="14"/>
        <color theme="1"/>
        <rFont val="Aptos"/>
        <family val="2"/>
      </rPr>
      <t xml:space="preserve">elétrico </t>
    </r>
  </si>
  <si>
    <t>2. IC2_Projetos de transporte rodoviário de passageiros (autocarros)</t>
  </si>
  <si>
    <r>
      <t xml:space="preserve">Fator de emissão de GEE - </t>
    </r>
    <r>
      <rPr>
        <b/>
        <sz val="14"/>
        <color theme="1"/>
        <rFont val="Aptos"/>
        <family val="2"/>
      </rPr>
      <t xml:space="preserve">elétrico </t>
    </r>
    <r>
      <rPr>
        <sz val="14"/>
        <color theme="1"/>
        <rFont val="Aptos"/>
        <family val="2"/>
      </rPr>
      <t>(incluindo hidrogénio)</t>
    </r>
  </si>
  <si>
    <t xml:space="preserve">                      </t>
  </si>
  <si>
    <t>Como são estimados os fatores de emissão padrão do transporte elétrico?</t>
  </si>
  <si>
    <t>O fator de emissão de GEE dos autocarros poderá ser consultado na declaração ambiental do produto (EPD- Environmental Product Declaration), a disponibilizar pelo fornecedor.</t>
  </si>
  <si>
    <t>Como são estimados os fatores de emissão padrão do transporte a combustão?</t>
  </si>
  <si>
    <t>Os fatores de emissão do transporte a combustão são os indicados na bibliografia ou, quando disponíveis, os indicados no Inventário de Emissões de GEE da Agência Portuguesa do Ambiente. Para mais informação consultar o separador "Fatores de Emissão".</t>
  </si>
  <si>
    <t>Os fatores de emissão do transporte elétrico são calculados tendo em conta os consumos de eletricidade do transporte (referenciados em bibliografia) por passageiro-quilómetro e o fator emissão de eletricidade indicado pelo utilizador. Para mais informação consultar o separador "Fatores de Emissão".</t>
  </si>
  <si>
    <r>
      <t xml:space="preserve">Fator de emissão de GEE - </t>
    </r>
    <r>
      <rPr>
        <b/>
        <sz val="14"/>
        <color theme="1"/>
        <rFont val="Aptos"/>
        <family val="2"/>
      </rPr>
      <t>elétrico</t>
    </r>
    <r>
      <rPr>
        <sz val="14"/>
        <color theme="1"/>
        <rFont val="Aptos"/>
        <family val="2"/>
      </rPr>
      <t xml:space="preserve">  (incluindo hidrogénio)</t>
    </r>
  </si>
  <si>
    <r>
      <t xml:space="preserve">A GEE_mobilidade disponibiliza uma calculadora (calculadora A) para estimar os fatores de emissão do transporte elétrico no separador "Cálculos adicionais_utilizador" (aceder através do </t>
    </r>
    <r>
      <rPr>
        <b/>
        <sz val="11"/>
        <color theme="1"/>
        <rFont val="Calibri"/>
        <family val="2"/>
        <scheme val="minor"/>
      </rPr>
      <t>"Índice"</t>
    </r>
    <r>
      <rPr>
        <sz val="11"/>
        <color theme="1"/>
        <rFont val="Calibri"/>
        <family val="2"/>
        <scheme val="minor"/>
      </rPr>
      <t xml:space="preserve"> da GEE_mobilidade). Os dados necessários para este cálculo são os seguintes:  Fator de emissão da eletricidade (kgCO2e/ kWh); Consumo de electricidade (kWh/km) especifico do transporte e o Número médio de passageiros por autocarro. Os fatores de emissão resultantes (campos a verde)  devem ser introduzidos na coluna "Valor" a azul do respectivo tipo de transporte.</t>
    </r>
  </si>
  <si>
    <t>II- Fator de emissão de GEE (padrão): eléctrico_bateria (iões de lítio)</t>
  </si>
  <si>
    <t>II- Fator de emissão de GEE (padrão): combustão_GNC</t>
  </si>
  <si>
    <t>III- Fator de emissão de GEE (padrão): combustão_gasóleo</t>
  </si>
  <si>
    <t>III- Fator de emissão de GEE (padrão): elétrico_hidrogénio (fuel cell)</t>
  </si>
  <si>
    <t>II- Fator de emissão de GEE (padrão): combustão_GNL</t>
  </si>
  <si>
    <t>II- Fator de emissão de GEE (padrão)</t>
  </si>
  <si>
    <t xml:space="preserve">Autocarros Articulados/ Bus Rapid Transit: elétrico </t>
  </si>
  <si>
    <t>Emissões evitadas              totais (-Re)</t>
  </si>
  <si>
    <t xml:space="preserve">Autocarros </t>
  </si>
  <si>
    <t>Fator de Emissão do Transporte a Adquirir</t>
  </si>
  <si>
    <t xml:space="preserve">Emissões totais  </t>
  </si>
  <si>
    <t>Fator de emissão GEE do utilizador (introduzir valor nos campos a azul)</t>
  </si>
  <si>
    <t>TM3_ ferrovia e metro</t>
  </si>
  <si>
    <t>Integração com outras tipologias de projetos</t>
  </si>
  <si>
    <t>Distância média das deslocações em metro: AML: 12,5 km; AMP: 10 km</t>
  </si>
  <si>
    <t>Distância média das deslocações em comboio:  AML= 18,5 km;  AMP= 33 km</t>
  </si>
  <si>
    <t>Consumo anual de eletricidade num ano típico de funcionamento</t>
  </si>
  <si>
    <t>Outros consumos</t>
  </si>
  <si>
    <t>Fator de emissão (ProdT) (kg/p.km)</t>
  </si>
  <si>
    <t>Emissões CO2e (ton/ano) (com ProdT)-</t>
  </si>
  <si>
    <t>Emissões CO2e (ton/ano) (sem ProdT)</t>
  </si>
  <si>
    <t>Fator de emissão (kgCO2eq/p.km) padrão</t>
  </si>
  <si>
    <t>É um projeto relacionado com o transporte ferroviário de passageiros (redes e vias, renovação e/ ou aquisição de novo material circulante)?</t>
  </si>
  <si>
    <t>É um projeto relacionado com o transporte de passageiros em vias navegáveis interiores (renovação e aquisição de nova frota de navios/embarcações)?</t>
  </si>
  <si>
    <t xml:space="preserve">Os projectos relacionados com o transporte ferroviário de passageiros, o metro e elétricos podem estar integrados noutros projectos mais  abrangentes (ex. criação de zonas condicionadas tais como zonas 20 ou zonas 30; criação de zonas com baixas emissões; parques de estacionamento associados a interfaces modais).                                                                                                                                                   </t>
  </si>
  <si>
    <r>
      <rPr>
        <b/>
        <sz val="14"/>
        <rFont val="Aptos"/>
        <family val="2"/>
      </rPr>
      <t>Nota 1</t>
    </r>
    <r>
      <rPr>
        <sz val="14"/>
        <rFont val="Aptos"/>
        <family val="2"/>
      </rPr>
      <t xml:space="preserve">: Caso a </t>
    </r>
    <r>
      <rPr>
        <b/>
        <sz val="14"/>
        <rFont val="Aptos"/>
        <family val="2"/>
      </rPr>
      <t>opção I- Fator de emissão de GEE  do utilizador</t>
    </r>
    <r>
      <rPr>
        <sz val="14"/>
        <rFont val="Aptos"/>
        <family val="2"/>
      </rPr>
      <t xml:space="preserve"> tenha sido selecionada, os campos "Valor" e "Fonte e ano de referência do fator de emissão de GEE" a </t>
    </r>
    <r>
      <rPr>
        <b/>
        <sz val="14"/>
        <color rgb="FF02A39C"/>
        <rFont val="Aptos"/>
        <family val="2"/>
      </rPr>
      <t>AZUL</t>
    </r>
    <r>
      <rPr>
        <sz val="14"/>
        <rFont val="Aptos"/>
        <family val="2"/>
      </rPr>
      <t xml:space="preserve"> </t>
    </r>
    <r>
      <rPr>
        <b/>
        <sz val="14"/>
        <rFont val="Aptos"/>
        <family val="2"/>
      </rPr>
      <t>devem ser preenchidas, quando aplicável</t>
    </r>
    <r>
      <rPr>
        <sz val="14"/>
        <rFont val="Aptos"/>
        <family val="2"/>
      </rPr>
      <t>.</t>
    </r>
  </si>
  <si>
    <r>
      <rPr>
        <b/>
        <sz val="14"/>
        <rFont val="Aptos"/>
        <family val="2"/>
      </rPr>
      <t>Nota 2:</t>
    </r>
    <r>
      <rPr>
        <sz val="14"/>
        <rFont val="Aptos"/>
        <family val="2"/>
      </rPr>
      <t xml:space="preserve"> Caso a</t>
    </r>
    <r>
      <rPr>
        <b/>
        <sz val="14"/>
        <rFont val="Aptos"/>
        <family val="2"/>
      </rPr>
      <t xml:space="preserve"> opção II- Fator de emissão de GEE (padrão) </t>
    </r>
    <r>
      <rPr>
        <sz val="14"/>
        <rFont val="Aptos"/>
        <family val="2"/>
      </rPr>
      <t xml:space="preserve">tenha sido selecionada, os campos "Valor" e "Fonte e ano de referência do fator de emissão de GEE" a </t>
    </r>
    <r>
      <rPr>
        <b/>
        <sz val="14"/>
        <rFont val="Aptos"/>
        <family val="2"/>
      </rPr>
      <t>PRETO</t>
    </r>
    <r>
      <rPr>
        <sz val="14"/>
        <rFont val="Aptos"/>
        <family val="2"/>
      </rPr>
      <t xml:space="preserve"> </t>
    </r>
    <r>
      <rPr>
        <b/>
        <sz val="14"/>
        <rFont val="Aptos"/>
        <family val="2"/>
      </rPr>
      <t>não devem ser preenchidos</t>
    </r>
    <r>
      <rPr>
        <sz val="14"/>
        <rFont val="Aptos"/>
        <family val="2"/>
      </rPr>
      <t xml:space="preserve">.     </t>
    </r>
  </si>
  <si>
    <t>Os projectos relacionados com o transporte rodoviário de passageiros podem estar integrados noutros projectos mais  abrangentes (ex. criação de zonas condicionadas tais como zonas 20 ou zonas 30; criação de zonas com baixas emissões; parques de estacionamento associados a interfaces modais)</t>
  </si>
  <si>
    <t>1. Selecionar a opção disponibilizada no campo "Fator de Emissão a utilizar" relativa ao fator de emissão de GEE a utilizar para calcular as emissões de GEE dos tipos de comboios e/ou elétricos incluídos no projeto:</t>
  </si>
  <si>
    <t>Fator de emissão GEE a utilizar (micromobilidade/ferrovia/ fluvial)</t>
  </si>
  <si>
    <t xml:space="preserve">II- Fator de emissão de GEE (padrão) </t>
  </si>
  <si>
    <r>
      <t xml:space="preserve">Qual a TM expectável do </t>
    </r>
    <r>
      <rPr>
        <b/>
        <sz val="14"/>
        <color theme="1"/>
        <rFont val="Aptos"/>
        <family val="2"/>
      </rPr>
      <t>modo pedonal + procura induzida (indução)</t>
    </r>
    <r>
      <rPr>
        <sz val="14"/>
        <color theme="1"/>
        <rFont val="Aptos"/>
        <family val="2"/>
      </rPr>
      <t xml:space="preserve"> para  o</t>
    </r>
    <r>
      <rPr>
        <b/>
        <sz val="14"/>
        <color theme="1"/>
        <rFont val="Aptos"/>
        <family val="2"/>
      </rPr>
      <t xml:space="preserve"> metro (subterrâneo)</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</si>
  <si>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t>
    </r>
    <r>
      <rPr>
        <b/>
        <sz val="14"/>
        <color theme="1"/>
        <rFont val="Aptos"/>
        <family val="2"/>
      </rPr>
      <t xml:space="preserve"> o metro (superficie)</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</si>
  <si>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metro (superficie+ subterrâneo)</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</si>
  <si>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metro </t>
    </r>
    <r>
      <rPr>
        <b/>
        <sz val="14"/>
        <color theme="1"/>
        <rFont val="Aptos"/>
        <family val="2"/>
      </rPr>
      <t>(superficie+ subterrâneo)</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</si>
  <si>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t>
    </r>
    <r>
      <rPr>
        <b/>
        <sz val="14"/>
        <color theme="1"/>
        <rFont val="Aptos"/>
        <family val="2"/>
      </rPr>
      <t xml:space="preserve"> o metro (superficie+ subterrâneo)</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</si>
  <si>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o</t>
    </r>
    <r>
      <rPr>
        <b/>
        <sz val="14"/>
        <color theme="1"/>
        <rFont val="Aptos"/>
        <family val="2"/>
      </rPr>
      <t xml:space="preserve"> elétrico</t>
    </r>
    <r>
      <rPr>
        <sz val="14"/>
        <color theme="1"/>
        <rFont val="Aptos"/>
        <family val="2"/>
      </rPr>
      <t>?</t>
    </r>
  </si>
  <si>
    <t>Comboios metro subterrâneo: Fator de emissão de GEE - material circulante elétrico</t>
  </si>
  <si>
    <t>Comboios metro superficie+ subterrâneo: Fator de emissão de GEE - material circulante elétrico</t>
  </si>
  <si>
    <t>Outro material circulante</t>
  </si>
  <si>
    <r>
      <t xml:space="preserve">Fator de emissão de GEE - </t>
    </r>
    <r>
      <rPr>
        <b/>
        <sz val="14"/>
        <color theme="1"/>
        <rFont val="Aptos"/>
        <family val="2"/>
      </rPr>
      <t xml:space="preserve">material circulante </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</si>
  <si>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t>
    </r>
    <r>
      <rPr>
        <b/>
        <sz val="14"/>
        <color theme="1"/>
        <rFont val="Aptos"/>
        <family val="2"/>
      </rPr>
      <t xml:space="preserve"> outro material circulante</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</si>
  <si>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t>
    </r>
    <r>
      <rPr>
        <b/>
        <sz val="14"/>
        <color theme="1"/>
        <rFont val="Aptos"/>
        <family val="2"/>
      </rPr>
      <t>outro material circulante</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</si>
  <si>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outro material circulante</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</si>
  <si>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o</t>
    </r>
    <r>
      <rPr>
        <b/>
        <sz val="14"/>
        <color theme="1"/>
        <rFont val="Aptos"/>
        <family val="2"/>
      </rPr>
      <t xml:space="preserve"> outro material circulante</t>
    </r>
    <r>
      <rPr>
        <sz val="14"/>
        <color theme="1"/>
        <rFont val="Aptos"/>
        <family val="2"/>
      </rPr>
      <t>?</t>
    </r>
  </si>
  <si>
    <r>
      <t xml:space="preserve">Qual a TM expectável do </t>
    </r>
    <r>
      <rPr>
        <b/>
        <sz val="14"/>
        <color theme="1"/>
        <rFont val="Aptos"/>
        <family val="2"/>
      </rPr>
      <t>elétrico</t>
    </r>
    <r>
      <rPr>
        <sz val="14"/>
        <color theme="1"/>
        <rFont val="Aptos"/>
        <family val="2"/>
      </rPr>
      <t xml:space="preserve"> para o </t>
    </r>
    <r>
      <rPr>
        <b/>
        <sz val="14"/>
        <color theme="1"/>
        <rFont val="Aptos"/>
        <family val="2"/>
      </rPr>
      <t>outro material circulante</t>
    </r>
    <r>
      <rPr>
        <sz val="14"/>
        <color theme="1"/>
        <rFont val="Aptos"/>
        <family val="2"/>
      </rPr>
      <t>?</t>
    </r>
  </si>
  <si>
    <t>Outro material circulante- podução do material circulante</t>
  </si>
  <si>
    <r>
      <t xml:space="preserve">Qual a TM expectável do </t>
    </r>
    <r>
      <rPr>
        <b/>
        <sz val="14"/>
        <color theme="1"/>
        <rFont val="Aptos"/>
        <family val="2"/>
      </rPr>
      <t>autocarro</t>
    </r>
    <r>
      <rPr>
        <sz val="14"/>
        <color theme="1"/>
        <rFont val="Aptos"/>
        <family val="2"/>
      </rPr>
      <t xml:space="preserve"> para </t>
    </r>
    <r>
      <rPr>
        <b/>
        <sz val="14"/>
        <color theme="1"/>
        <rFont val="Aptos"/>
        <family val="2"/>
      </rPr>
      <t>comboio</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</si>
  <si>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comboio</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</si>
  <si>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o </t>
    </r>
    <r>
      <rPr>
        <b/>
        <sz val="14"/>
        <color theme="1"/>
        <rFont val="Aptos"/>
        <family val="2"/>
      </rPr>
      <t>comboio</t>
    </r>
    <r>
      <rPr>
        <sz val="14"/>
        <color theme="1"/>
        <rFont val="Aptos"/>
        <family val="2"/>
      </rPr>
      <t>?</t>
    </r>
  </si>
  <si>
    <r>
      <t xml:space="preserve">Qual a TM expectável do </t>
    </r>
    <r>
      <rPr>
        <b/>
        <sz val="14"/>
        <color theme="1"/>
        <rFont val="Aptos"/>
        <family val="2"/>
      </rPr>
      <t>comboio</t>
    </r>
    <r>
      <rPr>
        <sz val="14"/>
        <color theme="1"/>
        <rFont val="Aptos"/>
        <family val="2"/>
      </rPr>
      <t xml:space="preserve"> para o </t>
    </r>
    <r>
      <rPr>
        <b/>
        <sz val="14"/>
        <color theme="1"/>
        <rFont val="Aptos"/>
        <family val="2"/>
      </rPr>
      <t xml:space="preserve"> elétrico</t>
    </r>
    <r>
      <rPr>
        <sz val="14"/>
        <color theme="1"/>
        <rFont val="Aptos"/>
        <family val="2"/>
      </rPr>
      <t>?</t>
    </r>
  </si>
  <si>
    <t>% captação (TM)</t>
  </si>
  <si>
    <t>Calculadora A: Cálculo do Fator de emissão do transporte elétrico</t>
  </si>
  <si>
    <t>Nº médio de passageiros transportados por unidade (ex. 1 autocarro/ 1 comboio/ 1 embarcação/ 1 bicicleta)</t>
  </si>
  <si>
    <t>Consumo de eletricidade do transporte elétrico  (kWh/ km)</t>
  </si>
  <si>
    <t>Fator de emissão de GEE                        (kgCO2e/ p.km)</t>
  </si>
  <si>
    <t>Sem ProdT</t>
  </si>
  <si>
    <t>Com ProdT</t>
  </si>
  <si>
    <t>Passo I- Componentes do Projeto</t>
  </si>
  <si>
    <t>1. Responder ao questionário seguinte selecionando a opção SIM apenas nas questões do pressuposto metodológico que se apliquem ao Projeto. (ex. Resposta SIM a: Pressuposto Transferência Modal - "É um projeto relacionado com a micromobilidade?" + "É um projeto relacionado com o transporte rodoviário de passageiros?")</t>
  </si>
  <si>
    <t>Passo II- Resposta ao questionário</t>
  </si>
  <si>
    <t>1. Preencher os separadores que aparecem no campo "Separadores a preencher"? (ex. ID_Identificação do projeto; TM1_micromobilidade; TM2_rodovia)</t>
  </si>
  <si>
    <t>Passo III- Preencher os separadores da GEE_mobilidade</t>
  </si>
  <si>
    <r>
      <t>Resposta: SIM</t>
    </r>
    <r>
      <rPr>
        <b/>
        <sz val="14"/>
        <color theme="0"/>
        <rFont val="Aptos"/>
        <family val="2"/>
      </rPr>
      <t xml:space="preserve"> (Selecionar caso se aplique ao projeto)</t>
    </r>
  </si>
  <si>
    <t xml:space="preserve">B: TM (total Passageiros* km ano* %TM)                             </t>
  </si>
  <si>
    <t>modo pedonal+ procura induzida</t>
  </si>
  <si>
    <t>Transferência modal (%) Outro material circulante</t>
  </si>
  <si>
    <r>
      <t xml:space="preserve">Qual a TM expectável do </t>
    </r>
    <r>
      <rPr>
        <b/>
        <sz val="14"/>
        <color theme="1"/>
        <rFont val="Aptos"/>
        <family val="2"/>
      </rPr>
      <t>elétrico</t>
    </r>
    <r>
      <rPr>
        <sz val="14"/>
        <color theme="1"/>
        <rFont val="Aptos"/>
        <family val="2"/>
      </rPr>
      <t xml:space="preserve"> para o </t>
    </r>
    <r>
      <rPr>
        <b/>
        <sz val="14"/>
        <color theme="1"/>
        <rFont val="Aptos"/>
        <family val="2"/>
      </rPr>
      <t>comboio</t>
    </r>
    <r>
      <rPr>
        <sz val="14"/>
        <color theme="1"/>
        <rFont val="Aptos"/>
        <family val="2"/>
      </rPr>
      <t>?</t>
    </r>
  </si>
  <si>
    <r>
      <t xml:space="preserve">Qual a TM expectável do </t>
    </r>
    <r>
      <rPr>
        <b/>
        <sz val="14"/>
        <color theme="1"/>
        <rFont val="Aptos"/>
        <family val="2"/>
      </rPr>
      <t>elétrico</t>
    </r>
    <r>
      <rPr>
        <sz val="14"/>
        <color theme="1"/>
        <rFont val="Aptos"/>
        <family val="2"/>
      </rPr>
      <t xml:space="preserve"> para </t>
    </r>
    <r>
      <rPr>
        <b/>
        <sz val="14"/>
        <color theme="1"/>
        <rFont val="Aptos"/>
        <family val="2"/>
      </rPr>
      <t xml:space="preserve"> metro (subterrâneo)</t>
    </r>
    <r>
      <rPr>
        <sz val="14"/>
        <color theme="1"/>
        <rFont val="Aptos"/>
        <family val="2"/>
      </rPr>
      <t>?</t>
    </r>
  </si>
  <si>
    <r>
      <t xml:space="preserve">Qual a TM expectável do </t>
    </r>
    <r>
      <rPr>
        <b/>
        <sz val="14"/>
        <color theme="1"/>
        <rFont val="Aptos"/>
        <family val="2"/>
      </rPr>
      <t>elétrico</t>
    </r>
    <r>
      <rPr>
        <sz val="14"/>
        <color theme="1"/>
        <rFont val="Aptos"/>
        <family val="2"/>
      </rPr>
      <t xml:space="preserve"> para </t>
    </r>
    <r>
      <rPr>
        <b/>
        <sz val="14"/>
        <color theme="1"/>
        <rFont val="Aptos"/>
        <family val="2"/>
      </rPr>
      <t xml:space="preserve"> metro (superficie+ subterrâneo)</t>
    </r>
    <r>
      <rPr>
        <sz val="14"/>
        <color theme="1"/>
        <rFont val="Aptos"/>
        <family val="2"/>
      </rPr>
      <t>?</t>
    </r>
  </si>
  <si>
    <t>elétrico</t>
  </si>
  <si>
    <t xml:space="preserve">Transferência modal (%) Comboios </t>
  </si>
  <si>
    <t>modo pedonal+ procura induzida(0  emissões)</t>
  </si>
  <si>
    <t>modo pedonal + procura induzida(0  emissões)</t>
  </si>
  <si>
    <t xml:space="preserve"> Outro material circulante</t>
  </si>
  <si>
    <t xml:space="preserve"> Total (emissões referencia) com ProdT (ton/p.km)</t>
  </si>
  <si>
    <t>Emissões referencia  Total Global  (tCO2e/pkm)</t>
  </si>
  <si>
    <t>modo pedonal (0  emissões)+ procura induzida</t>
  </si>
  <si>
    <t xml:space="preserve">4.2 Resultados Totais </t>
  </si>
  <si>
    <r>
      <t xml:space="preserve">Fator de emissão de GEE - </t>
    </r>
    <r>
      <rPr>
        <b/>
        <sz val="14"/>
        <color theme="1"/>
        <rFont val="Aptos"/>
        <family val="2"/>
      </rPr>
      <t>produção do</t>
    </r>
    <r>
      <rPr>
        <sz val="14"/>
        <color theme="1"/>
        <rFont val="Aptos"/>
        <family val="2"/>
      </rPr>
      <t xml:space="preserve"> </t>
    </r>
    <r>
      <rPr>
        <b/>
        <sz val="14"/>
        <color theme="1"/>
        <rFont val="Aptos"/>
        <family val="2"/>
      </rPr>
      <t>transporte</t>
    </r>
    <r>
      <rPr>
        <sz val="14"/>
        <color theme="1"/>
        <rFont val="Aptos"/>
        <family val="2"/>
      </rPr>
      <t xml:space="preserve"> (ProdT)</t>
    </r>
  </si>
  <si>
    <t>tCO2e/ p.km</t>
  </si>
  <si>
    <r>
      <t xml:space="preserve">Nº total passageiros* C.km percorridos num ano típico de operação / </t>
    </r>
    <r>
      <rPr>
        <sz val="8"/>
        <color theme="1"/>
        <rFont val="Calibri"/>
        <family val="2"/>
        <scheme val="minor"/>
      </rPr>
      <t>outros consumos de eletricidade</t>
    </r>
  </si>
  <si>
    <t xml:space="preserve">Total Global </t>
  </si>
  <si>
    <r>
      <t xml:space="preserve">Indicadores                               </t>
    </r>
    <r>
      <rPr>
        <sz val="14"/>
        <color theme="1"/>
        <rFont val="Aptos"/>
        <family val="2"/>
      </rPr>
      <t xml:space="preserve"> comboios urbanos, metro e elétricos</t>
    </r>
  </si>
  <si>
    <t>MWh/ ano</t>
  </si>
  <si>
    <t xml:space="preserve">Emissões relativas </t>
  </si>
  <si>
    <t>Índice</t>
  </si>
  <si>
    <t>1. A GEE_mobilidade é aplicável a qualquer região e contexto quando são utilizados os fatores de emissão do utilizador e quando não são incluidas as emissões de GEE da produção do transporte (cenário SEM Produção do Transporte). Em todos os outros casos, a GEE_mobilidade apenas é aplicável ao contexto Português.</t>
  </si>
  <si>
    <r>
      <t xml:space="preserve">1. A calculadora permite incluir </t>
    </r>
    <r>
      <rPr>
        <b/>
        <sz val="14"/>
        <rFont val="Aptos"/>
        <family val="2"/>
      </rPr>
      <t xml:space="preserve">" Outros consumos de eletricidade" </t>
    </r>
    <r>
      <rPr>
        <sz val="14"/>
        <rFont val="Aptos"/>
        <family val="2"/>
      </rPr>
      <t xml:space="preserve">provenientes de infraestruturas e equipamentos (ex. iluminação urbana, unidades de ar condicionado) associados ao projeto, no cálculo das emissões relativas. </t>
    </r>
  </si>
  <si>
    <t>2. Intensidade carbónica por tipo de transporte em tonelada de CO2e por passageiro-quilómetro (tCO2e/p.km)</t>
  </si>
  <si>
    <t>1. Intensidade carbónica por tipo de transporte em tonelada de CO2e por unidade de transporte- quilómetro (ex. 1 unidade = 1 bicicleta/1 autocarro/1 comboio/)</t>
  </si>
  <si>
    <r>
      <t xml:space="preserve">2. A GEE_mobilidade </t>
    </r>
    <r>
      <rPr>
        <b/>
        <sz val="14"/>
        <rFont val="Aptos"/>
        <family val="2"/>
      </rPr>
      <t>não permite o cálculo</t>
    </r>
    <r>
      <rPr>
        <sz val="14"/>
        <rFont val="Aptos"/>
        <family val="2"/>
      </rPr>
      <t xml:space="preserve"> das emissões de GEE relativas das fases de construção e desativação de infraestruturas associadas a projetos de mobilidade. Estas emissões de GEE podem ser calculadas com recurso à calculadora de emissões de GEE para projetos sujeitos à Avaliação de Impacte Ambiental (AIA) disponibilizada no portal da Agência Portuguesa do Ambiente (APA).</t>
    </r>
  </si>
  <si>
    <r>
      <t xml:space="preserve">1. Projetos que incluem a disponibilização de estações de carregamento de veículos elétricos. </t>
    </r>
    <r>
      <rPr>
        <b/>
        <sz val="14"/>
        <rFont val="Aptos"/>
        <family val="2"/>
      </rPr>
      <t>Exemplo:</t>
    </r>
    <r>
      <rPr>
        <sz val="14"/>
        <rFont val="Aptos"/>
        <family val="2"/>
      </rPr>
      <t xml:space="preserve"> Construção de 5 estações de carregamento de veículos elétricos para carregamento de 25 veículos elétricos.</t>
    </r>
  </si>
  <si>
    <r>
      <t xml:space="preserve">1. Projetos que podem incluir vários tipos de transporte rodoviário e de micromobilidade. </t>
    </r>
    <r>
      <rPr>
        <b/>
        <sz val="14"/>
        <rFont val="Aptos"/>
        <family val="2"/>
      </rPr>
      <t>Exemplo:</t>
    </r>
    <r>
      <rPr>
        <sz val="14"/>
        <rFont val="Aptos"/>
        <family val="2"/>
      </rPr>
      <t xml:space="preserve"> Condicionamento da velocidade de todos os veículos a 30km/hora + construção de infraestruturas associadas à micromobilidade. </t>
    </r>
  </si>
  <si>
    <t>TM5_parques de estacionamento</t>
  </si>
  <si>
    <t>Fatores de emissão padrão da produção do transporte</t>
  </si>
  <si>
    <r>
      <t>(B) Preencher os campos a</t>
    </r>
    <r>
      <rPr>
        <b/>
        <sz val="14"/>
        <color rgb="FF00B0F0"/>
        <rFont val="Aptos"/>
        <family val="2"/>
      </rPr>
      <t xml:space="preserve"> AZUL CLARO</t>
    </r>
    <r>
      <rPr>
        <sz val="14"/>
        <rFont val="Aptos"/>
        <family val="2"/>
      </rPr>
      <t>, quando aplicável</t>
    </r>
  </si>
  <si>
    <t>Valor médio</t>
  </si>
  <si>
    <r>
      <t xml:space="preserve">3. A GEE_mobilidade </t>
    </r>
    <r>
      <rPr>
        <b/>
        <sz val="14"/>
        <rFont val="Aptos"/>
        <family val="2"/>
      </rPr>
      <t>não permite o cálculo</t>
    </r>
    <r>
      <rPr>
        <sz val="14"/>
        <rFont val="Aptos"/>
        <family val="2"/>
      </rPr>
      <t xml:space="preserve"> das emissões de GEE relativas de transporte de mercadorias.</t>
    </r>
  </si>
  <si>
    <t>Resultados apresentados</t>
  </si>
  <si>
    <t>Emissões de GEE</t>
  </si>
  <si>
    <t>Quadros de Resultados</t>
  </si>
  <si>
    <t>Resultados Globais: Pressuposto da Redução da Intensidade Carbónica + Pressuposto da Transferência Modal</t>
  </si>
  <si>
    <t>IC2_Projetos de transporte rodoviário de passageiros</t>
  </si>
  <si>
    <t>IC3_Projetos de transporte ferroviário de passageiros</t>
  </si>
  <si>
    <t>A. Projeto de criação de redes e vias</t>
  </si>
  <si>
    <t>C. Projeto de renovação de veículos (micromobilidade)/frota/material circulante</t>
  </si>
  <si>
    <t>D. Projeto de aquisição de novos veículos (micromobilidade)/ frota/material circulante.</t>
  </si>
  <si>
    <t>E. Projeto de carregamento de veículos elétricos</t>
  </si>
  <si>
    <t>F. Projeto de carregamento de navios/embarcações</t>
  </si>
  <si>
    <t>G. Parques de estacionamento associados a interfaces modais</t>
  </si>
  <si>
    <t>H. Criação de zonas condicionadas (ex. zonas 20; zonas 30)</t>
  </si>
  <si>
    <t>I. Criação de zonas de baixas emissões</t>
  </si>
  <si>
    <t>IC4_Projetos de transporte de passageiros em vias navegáveis</t>
  </si>
  <si>
    <t>1. Dados para o cálculo das emissões absolutas</t>
  </si>
  <si>
    <t>Passo II- Instruções</t>
  </si>
  <si>
    <t>1. Orientações técnicas sobre a resistência às alterações climáticas das infraestruturas no período 2021-2027 (2021/C 373/01)</t>
  </si>
  <si>
    <t>2. Projetos abrangidos pelo pressuposto Transferência Modal (TM): Projetos de micromobilidade; Projetos de transporte rodoviário de passageiros com transferência modal (ex. criação/ melhoria/ ampliação de redes e vias, renovação ou aquisição de novos autocarros); Projetos de transporte ferroviário de passageiros com transferência modal (ex. criação/ melhoria/ ampliação de redes e vias, renovação ou aquisição de material circulante); Projetos de transporte em vias navegáveis interiores com transferência modal (ex. renovação ou aquisição de nova frota de navios/embarcações); Projetos de criação de zonas condicionadas (e.g. zonas 20; zonas 30); Projetos de criação de baixas emissões; Projetos de parques de estacionamento associados a interfaces modais.</t>
  </si>
  <si>
    <t>B. Projeto de melhoria/ ampliação de redes e vias</t>
  </si>
  <si>
    <r>
      <rPr>
        <b/>
        <sz val="14"/>
        <rFont val="Aptos"/>
        <family val="2"/>
      </rPr>
      <t xml:space="preserve">C. Projeto de renovação de veículos (micromobilidade)/frota/material circulante.  Exemplo: </t>
    </r>
    <r>
      <rPr>
        <sz val="14"/>
        <rFont val="Aptos"/>
        <family val="2"/>
      </rPr>
      <t xml:space="preserve">Substituição de 10 autocarros a gasóleo por 10  autocarros elétricos.                                                                                                                                                                                      </t>
    </r>
  </si>
  <si>
    <r>
      <t xml:space="preserve">D. Projeto de aquisição de novos veículos (micromobilidade)/ frota/material circulante. Exemplo: </t>
    </r>
    <r>
      <rPr>
        <sz val="14"/>
        <rFont val="Aptos"/>
        <family val="2"/>
      </rPr>
      <t>Aquisição de 20 novas bicicletas elétricas.</t>
    </r>
  </si>
  <si>
    <r>
      <t xml:space="preserve">E. Projeto de carregamento de veículos elétricos. Exemplo: </t>
    </r>
    <r>
      <rPr>
        <sz val="14"/>
        <rFont val="Aptos"/>
        <family val="2"/>
      </rPr>
      <t>Construção de 5 estações de carregamento de veículos elétricos para carregamento de um total de 25 veículos elétricos.</t>
    </r>
  </si>
  <si>
    <r>
      <t>F. Projeto de carregamento de navios/embarcações. Exemplo:</t>
    </r>
    <r>
      <rPr>
        <sz val="14"/>
        <rFont val="Aptos"/>
        <family val="2"/>
      </rPr>
      <t xml:space="preserve"> Intensificação da oferta de estações de carregamento da frota elétrica de navios/embarcações. </t>
    </r>
  </si>
  <si>
    <r>
      <t xml:space="preserve">G. Parques de estacionamento associados a interfaces modais. Exemplo: </t>
    </r>
    <r>
      <rPr>
        <sz val="14"/>
        <rFont val="Aptos"/>
        <family val="2"/>
      </rPr>
      <t xml:space="preserve">Construção de um parque de estacionamento para 100 veículos junto a uma estação de metro e a uma estação de bicicletas partilhadas. </t>
    </r>
  </si>
  <si>
    <r>
      <t xml:space="preserve">H. Criação de zonas condicionadas (ex. zonas 20; zonas 30). Exemplo: </t>
    </r>
    <r>
      <rPr>
        <sz val="14"/>
        <rFont val="Aptos"/>
        <family val="2"/>
      </rPr>
      <t>Condicionamento da velocidade de todos os veículos a 30 km/hora + construção de infraestruturas associadas à micromobilidade.</t>
    </r>
  </si>
  <si>
    <r>
      <t xml:space="preserve"> I. Criação de zonas de baixas emissões. Exemplo: </t>
    </r>
    <r>
      <rPr>
        <sz val="14"/>
        <rFont val="Aptos"/>
        <family val="2"/>
      </rPr>
      <t>Criação de uma zona de baixas emissões com permissão de circulação de transporte público elétrico, bicicletas, motociclos elétricos e trotinetas elétricas.</t>
    </r>
  </si>
  <si>
    <r>
      <t xml:space="preserve">4. Verificar ou consultar os </t>
    </r>
    <r>
      <rPr>
        <b/>
        <sz val="14"/>
        <rFont val="Aptos"/>
        <family val="2"/>
      </rPr>
      <t>Resultados</t>
    </r>
    <r>
      <rPr>
        <sz val="14"/>
        <rFont val="Aptos"/>
        <family val="2"/>
      </rPr>
      <t>: campos a verde (Emissões) ou a amarelo claro (Energia).</t>
    </r>
  </si>
  <si>
    <t>5. Consultar Resultados Globais, juntamente com as várias componentes do projeto em:</t>
  </si>
  <si>
    <t>Passo III- Resultados</t>
  </si>
  <si>
    <t>RE_resultados</t>
  </si>
  <si>
    <t>3. IC3_ Projetos de transporte ferroviário de passageiros</t>
  </si>
  <si>
    <r>
      <t>Cálculo das emissões absolutas (A</t>
    </r>
    <r>
      <rPr>
        <vertAlign val="subscript"/>
        <sz val="12"/>
        <rFont val="Aptos"/>
        <family val="2"/>
      </rPr>
      <t>b</t>
    </r>
    <r>
      <rPr>
        <sz val="12"/>
        <rFont val="Aptos"/>
        <family val="2"/>
      </rPr>
      <t>), das emissões emissões de referência (B</t>
    </r>
    <r>
      <rPr>
        <vertAlign val="subscript"/>
        <sz val="12"/>
        <rFont val="Aptos"/>
        <family val="2"/>
      </rPr>
      <t>e</t>
    </r>
    <r>
      <rPr>
        <sz val="12"/>
        <rFont val="Aptos"/>
        <family val="2"/>
      </rPr>
      <t>) e das emissões relativas (R</t>
    </r>
    <r>
      <rPr>
        <vertAlign val="subscript"/>
        <sz val="12"/>
        <rFont val="Aptos"/>
        <family val="2"/>
      </rPr>
      <t>e</t>
    </r>
    <r>
      <rPr>
        <sz val="12"/>
        <rFont val="Aptos"/>
        <family val="2"/>
      </rPr>
      <t>= A</t>
    </r>
    <r>
      <rPr>
        <vertAlign val="subscript"/>
        <sz val="12"/>
        <rFont val="Aptos"/>
        <family val="2"/>
      </rPr>
      <t>b</t>
    </r>
    <r>
      <rPr>
        <sz val="12"/>
        <rFont val="Aptos"/>
        <family val="2"/>
      </rPr>
      <t xml:space="preserve"> - B</t>
    </r>
    <r>
      <rPr>
        <vertAlign val="subscript"/>
        <sz val="12"/>
        <rFont val="Aptos"/>
        <family val="2"/>
      </rPr>
      <t>e</t>
    </r>
    <r>
      <rPr>
        <sz val="12"/>
        <rFont val="Aptos"/>
        <family val="2"/>
      </rPr>
      <t>)  de projetos de transporte ferroviário de passageiros, metro e elétricos que impliquem transferência modal.</t>
    </r>
  </si>
  <si>
    <t xml:space="preserve">Projetos de redes e vias (ex. criação/ melhoria/ampliação de vias ferroviárias para transporte de passageiros, rede de metro e de elétricos); Projetos de aquisição de novo material circulante (ex. aquisição de novos comboios para utilização numa nova via ferroviária ou em adição ao material circulante existente); Projetos de renovação de material circulante em que se preveja haver transferência modal (ex. substituição total ou parcial de material circulante por outro com maior capacidade/ mais conveniente). </t>
  </si>
  <si>
    <r>
      <t>Cálculo das emissões absolutas (A</t>
    </r>
    <r>
      <rPr>
        <vertAlign val="subscript"/>
        <sz val="12"/>
        <rFont val="Aptos"/>
        <family val="2"/>
      </rPr>
      <t>b</t>
    </r>
    <r>
      <rPr>
        <sz val="12"/>
        <rFont val="Aptos"/>
        <family val="2"/>
      </rPr>
      <t>), das emissões emissões de referência (B</t>
    </r>
    <r>
      <rPr>
        <vertAlign val="subscript"/>
        <sz val="12"/>
        <rFont val="Aptos"/>
        <family val="2"/>
      </rPr>
      <t>e</t>
    </r>
    <r>
      <rPr>
        <sz val="12"/>
        <rFont val="Aptos"/>
        <family val="2"/>
      </rPr>
      <t>) e das emissões relativas (R</t>
    </r>
    <r>
      <rPr>
        <vertAlign val="subscript"/>
        <sz val="12"/>
        <rFont val="Aptos"/>
        <family val="2"/>
      </rPr>
      <t>e</t>
    </r>
    <r>
      <rPr>
        <sz val="12"/>
        <rFont val="Aptos"/>
        <family val="2"/>
      </rPr>
      <t>= A</t>
    </r>
    <r>
      <rPr>
        <vertAlign val="subscript"/>
        <sz val="12"/>
        <rFont val="Aptos"/>
        <family val="2"/>
      </rPr>
      <t>b</t>
    </r>
    <r>
      <rPr>
        <sz val="12"/>
        <rFont val="Aptos"/>
        <family val="2"/>
      </rPr>
      <t xml:space="preserve"> - B</t>
    </r>
    <r>
      <rPr>
        <vertAlign val="subscript"/>
        <sz val="12"/>
        <rFont val="Aptos"/>
        <family val="2"/>
      </rPr>
      <t>e</t>
    </r>
    <r>
      <rPr>
        <sz val="12"/>
        <rFont val="Aptos"/>
        <family val="2"/>
      </rPr>
      <t>)  de projetos relacionados com a micromobilidade que impliquem transferência modal.</t>
    </r>
  </si>
  <si>
    <t>Projetos de redes e vias (ex. criação/ melhoria/ampliação de vias ciclopedonais/pedonais, ciclovias, estações de bicicleta); Projetos de aquisição de novo transporte (ex. aquisição de novas bicicletas, motociclos e trotinetas elétricas partilhadas)</t>
  </si>
  <si>
    <t xml:space="preserve">Os projectos relacionados com a micromobilidade podem estar integrados noutros projectos mais  abrangentes (ex. criação de zonas condicionadas tais como zonas 20 ou zonas 30; criação de zonas com baixas emissões; parques de estacionamento associados a interfaces modais).                                                                                                                                                   </t>
  </si>
  <si>
    <t>3. Recomenda-se a utilização do fator de emissão de eletricidade (Rede Nacional ou do fornecedor de eletricidade) mais próximo do ano típico de funcionamento do projeto (i.e. ano típico (médio)= n+2 em que "n" é o ano de ínicio de operação do projeto). O fator de emissão de eletricidade (Rede Nacional)  pode ser consultado no portal da Agência Portuguesa do Ambiente.</t>
  </si>
  <si>
    <t xml:space="preserve">II- Fator de emissão de GEE (padrão) 
</t>
  </si>
  <si>
    <t>Cálculo das emissões absolutas (Ab), das emissões emissões de referência (Be) e das emissões relativas (Re= Ab - Be)  de projetos de transporte rodoviário de passageiros que impliquem transferência modal.</t>
  </si>
  <si>
    <t>Projetos de redes e vias (ex. criação/ melhoria/ ampliação de vias dedicadas a autocarros urbanos, metrobus/BRTs); Projetos de aquisição de nova frota (ex. aquisição de autocarros em adição à frota existente); Projetos de renovação de frota (ex. substituição total ou parcial da frota de autocarros) em que se preveja haver transferência modal.</t>
  </si>
  <si>
    <t xml:space="preserve">Nº de passageiros/ ano </t>
  </si>
  <si>
    <t>Distância média das deslocações em bicicleta: AML: 8 km; AMP: 9 km</t>
  </si>
  <si>
    <t>Nº/ano</t>
  </si>
  <si>
    <t>I- % de captação (TM) do utilizador</t>
  </si>
  <si>
    <t>II- % de captação (TM) em Lisboa (padrão)</t>
  </si>
  <si>
    <t xml:space="preserve"> I- % captação (TM) do utilizador</t>
  </si>
  <si>
    <t>1. Selecionar uma opção:</t>
  </si>
  <si>
    <t xml:space="preserve"> A % de captação (TM) em Lisboa (padrão) é baseada em transferências modais (ano de 2019) de um estudo realizado para a Cidade de Lisboa por:
</t>
  </si>
  <si>
    <t xml:space="preserve">Nota 1 </t>
  </si>
  <si>
    <r>
      <t xml:space="preserve">Qual a TM expectável do </t>
    </r>
    <r>
      <rPr>
        <b/>
        <sz val="14"/>
        <color theme="1"/>
        <rFont val="Aptos"/>
        <family val="2"/>
      </rPr>
      <t>automóvel</t>
    </r>
    <r>
      <rPr>
        <sz val="14"/>
        <color theme="1"/>
        <rFont val="Aptos"/>
        <family val="2"/>
      </rPr>
      <t xml:space="preserve"> (combustível desconhecido) para a trotineta </t>
    </r>
    <r>
      <rPr>
        <u/>
        <sz val="14"/>
        <color theme="1"/>
        <rFont val="Aptos"/>
        <family val="2"/>
      </rPr>
      <t>elétrica partilhada</t>
    </r>
    <r>
      <rPr>
        <sz val="14"/>
        <color theme="1"/>
        <rFont val="Aptos"/>
        <family val="2"/>
      </rPr>
      <t>?</t>
    </r>
  </si>
  <si>
    <r>
      <t xml:space="preserve">Qual a TM expectável do </t>
    </r>
    <r>
      <rPr>
        <b/>
        <sz val="14"/>
        <color theme="1"/>
        <rFont val="Aptos"/>
        <family val="2"/>
      </rPr>
      <t>automóvel</t>
    </r>
    <r>
      <rPr>
        <sz val="14"/>
        <color theme="1"/>
        <rFont val="Aptos"/>
        <family val="2"/>
      </rPr>
      <t xml:space="preserve"> (combustível desconhecido) para a trotineta </t>
    </r>
    <r>
      <rPr>
        <b/>
        <sz val="14"/>
        <color theme="1"/>
        <rFont val="Aptos"/>
        <family val="2"/>
      </rPr>
      <t>elétrica privada</t>
    </r>
    <r>
      <rPr>
        <sz val="14"/>
        <color theme="1"/>
        <rFont val="Aptos"/>
        <family val="2"/>
      </rPr>
      <t>?</t>
    </r>
  </si>
  <si>
    <r>
      <t xml:space="preserve">Qual a TM expectável do </t>
    </r>
    <r>
      <rPr>
        <b/>
        <sz val="14"/>
        <color theme="1"/>
        <rFont val="Aptos"/>
        <family val="2"/>
      </rPr>
      <t>autocarro</t>
    </r>
    <r>
      <rPr>
        <sz val="14"/>
        <color theme="1"/>
        <rFont val="Aptos"/>
        <family val="2"/>
      </rPr>
      <t xml:space="preserve"> (combustível desconhecido) para a trotineta </t>
    </r>
    <r>
      <rPr>
        <u/>
        <sz val="14"/>
        <color theme="1"/>
        <rFont val="Aptos"/>
        <family val="2"/>
      </rPr>
      <t>elétrica partilhada</t>
    </r>
    <r>
      <rPr>
        <sz val="14"/>
        <color theme="1"/>
        <rFont val="Aptos"/>
        <family val="2"/>
      </rPr>
      <t>?</t>
    </r>
  </si>
  <si>
    <r>
      <t xml:space="preserve">Qual a TM expectável do </t>
    </r>
    <r>
      <rPr>
        <b/>
        <sz val="14"/>
        <color theme="1"/>
        <rFont val="Aptos"/>
        <family val="2"/>
      </rPr>
      <t>metro</t>
    </r>
    <r>
      <rPr>
        <sz val="14"/>
        <color theme="1"/>
        <rFont val="Aptos"/>
        <family val="2"/>
      </rPr>
      <t xml:space="preserve"> para a trotineta </t>
    </r>
    <r>
      <rPr>
        <u/>
        <sz val="14"/>
        <color theme="1"/>
        <rFont val="Aptos"/>
        <family val="2"/>
      </rPr>
      <t>elétrica partilhada</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</si>
  <si>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a trotineta </t>
    </r>
    <r>
      <rPr>
        <u/>
        <sz val="14"/>
        <color theme="1"/>
        <rFont val="Aptos"/>
        <family val="2"/>
      </rPr>
      <t>elétrica partilhada</t>
    </r>
    <r>
      <rPr>
        <sz val="14"/>
        <color theme="1"/>
        <rFont val="Aptos"/>
        <family val="2"/>
      </rPr>
      <t>?</t>
    </r>
  </si>
  <si>
    <r>
      <t xml:space="preserve">Qual a TM expectável do </t>
    </r>
    <r>
      <rPr>
        <b/>
        <sz val="14"/>
        <color theme="1"/>
        <rFont val="Aptos"/>
        <family val="2"/>
      </rPr>
      <t>autocarro</t>
    </r>
    <r>
      <rPr>
        <sz val="14"/>
        <color theme="1"/>
        <rFont val="Aptos"/>
        <family val="2"/>
      </rPr>
      <t xml:space="preserve"> (combustível desconhecido) para a trotineta </t>
    </r>
    <r>
      <rPr>
        <b/>
        <sz val="14"/>
        <color theme="1"/>
        <rFont val="Aptos"/>
        <family val="2"/>
      </rPr>
      <t>elétrica privada</t>
    </r>
    <r>
      <rPr>
        <sz val="14"/>
        <color theme="1"/>
        <rFont val="Aptos"/>
        <family val="2"/>
      </rPr>
      <t>?</t>
    </r>
  </si>
  <si>
    <r>
      <t xml:space="preserve">Qual a TM expectável do </t>
    </r>
    <r>
      <rPr>
        <b/>
        <sz val="14"/>
        <color theme="1"/>
        <rFont val="Aptos"/>
        <family val="2"/>
      </rPr>
      <t>metro</t>
    </r>
    <r>
      <rPr>
        <sz val="14"/>
        <color theme="1"/>
        <rFont val="Aptos"/>
        <family val="2"/>
      </rPr>
      <t xml:space="preserve"> para a trotineta </t>
    </r>
    <r>
      <rPr>
        <b/>
        <sz val="14"/>
        <color theme="1"/>
        <rFont val="Aptos"/>
        <family val="2"/>
      </rPr>
      <t>elétrica privada</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</si>
  <si>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a trotineta </t>
    </r>
    <r>
      <rPr>
        <b/>
        <sz val="14"/>
        <color theme="1"/>
        <rFont val="Aptos"/>
        <family val="2"/>
      </rPr>
      <t>elétrica privada</t>
    </r>
    <r>
      <rPr>
        <sz val="14"/>
        <color theme="1"/>
        <rFont val="Aptos"/>
        <family val="2"/>
      </rPr>
      <t>?</t>
    </r>
  </si>
  <si>
    <t>3.1 Resultados Totais para um ano típico de funcionamento (ano médio)</t>
  </si>
  <si>
    <t>Horizonte do projeto</t>
  </si>
  <si>
    <t xml:space="preserve">  </t>
  </si>
  <si>
    <r>
      <t xml:space="preserve">Nº total de trotinetas elétricas </t>
    </r>
    <r>
      <rPr>
        <b/>
        <u/>
        <sz val="14"/>
        <color theme="1"/>
        <rFont val="Aptos"/>
        <family val="2"/>
      </rPr>
      <t>partilhadas</t>
    </r>
    <r>
      <rPr>
        <sz val="14"/>
        <color theme="1"/>
        <rFont val="Aptos"/>
        <family val="2"/>
      </rPr>
      <t xml:space="preserve"> em circulação previstas no projeto num ano típico de funcionamento</t>
    </r>
  </si>
  <si>
    <r>
      <t xml:space="preserve">Nº total de km por trotineta elétrica </t>
    </r>
    <r>
      <rPr>
        <b/>
        <u/>
        <sz val="14"/>
        <color theme="1"/>
        <rFont val="Aptos"/>
        <family val="2"/>
      </rPr>
      <t>partilhada</t>
    </r>
    <r>
      <rPr>
        <sz val="14"/>
        <color theme="1"/>
        <rFont val="Aptos"/>
        <family val="2"/>
      </rPr>
      <t xml:space="preserve"> num ano típico de funcionamento</t>
    </r>
  </si>
  <si>
    <r>
      <t xml:space="preserve">Nº total de km  por trotineta uma </t>
    </r>
    <r>
      <rPr>
        <b/>
        <u/>
        <sz val="14"/>
        <color theme="1"/>
        <rFont val="Aptos"/>
        <family val="2"/>
      </rPr>
      <t>privada</t>
    </r>
    <r>
      <rPr>
        <sz val="14"/>
        <color theme="1"/>
        <rFont val="Aptos"/>
        <family val="2"/>
      </rPr>
      <t xml:space="preserve"> num ano típico de funcionamento</t>
    </r>
  </si>
  <si>
    <r>
      <t xml:space="preserve">1.  Introduzir nas colunas </t>
    </r>
    <r>
      <rPr>
        <b/>
        <sz val="14"/>
        <color rgb="FF02A39C"/>
        <rFont val="Aptos"/>
        <family val="2"/>
      </rPr>
      <t>VALOR</t>
    </r>
    <r>
      <rPr>
        <sz val="14"/>
        <rFont val="Aptos"/>
        <family val="2"/>
      </rPr>
      <t xml:space="preserve"> abaixo a </t>
    </r>
    <r>
      <rPr>
        <b/>
        <sz val="14"/>
        <color rgb="FF02A39C"/>
        <rFont val="Aptos"/>
        <family val="2"/>
      </rPr>
      <t xml:space="preserve">AZUL </t>
    </r>
    <r>
      <rPr>
        <sz val="14"/>
        <rFont val="Aptos"/>
        <family val="2"/>
      </rPr>
      <t xml:space="preserve">os </t>
    </r>
    <r>
      <rPr>
        <b/>
        <sz val="14"/>
        <rFont val="Aptos"/>
        <family val="2"/>
      </rPr>
      <t>valores médios</t>
    </r>
    <r>
      <rPr>
        <sz val="14"/>
        <rFont val="Aptos"/>
        <family val="2"/>
      </rPr>
      <t xml:space="preserve">, quando aplicável:                                                                                                                                                                                                                                                                                                                                                                                                                                                                                                                                                                                                                                                                        </t>
    </r>
    <r>
      <rPr>
        <b/>
        <sz val="14"/>
        <rFont val="Aptos"/>
        <family val="2"/>
      </rPr>
      <t xml:space="preserve"> </t>
    </r>
    <r>
      <rPr>
        <sz val="14"/>
        <rFont val="Aptos"/>
        <family val="2"/>
      </rPr>
      <t xml:space="preserve"> </t>
    </r>
  </si>
  <si>
    <t>Nº total de km por motociclo elétrico</t>
  </si>
  <si>
    <t>Nº total de km por bicicleta elétrica</t>
  </si>
  <si>
    <r>
      <rPr>
        <b/>
        <sz val="14"/>
        <color theme="1"/>
        <rFont val="Aptos"/>
        <family val="2"/>
      </rPr>
      <t>R</t>
    </r>
    <r>
      <rPr>
        <b/>
        <vertAlign val="subscript"/>
        <sz val="14"/>
        <color theme="1"/>
        <rFont val="Aptos"/>
        <family val="2"/>
      </rPr>
      <t>e</t>
    </r>
    <r>
      <rPr>
        <b/>
        <sz val="14"/>
        <color theme="1"/>
        <rFont val="Aptos"/>
        <family val="2"/>
      </rPr>
      <t>: Emissões Relativas</t>
    </r>
    <r>
      <rPr>
        <sz val="14"/>
        <color theme="1"/>
        <rFont val="Aptos"/>
        <family val="2"/>
      </rPr>
      <t xml:space="preserve"> </t>
    </r>
  </si>
  <si>
    <r>
      <rPr>
        <b/>
        <sz val="14"/>
        <color theme="1"/>
        <rFont val="Aptos"/>
        <family val="2"/>
      </rPr>
      <t>A</t>
    </r>
    <r>
      <rPr>
        <b/>
        <vertAlign val="subscript"/>
        <sz val="14"/>
        <color theme="1"/>
        <rFont val="Aptos"/>
        <family val="2"/>
      </rPr>
      <t>b</t>
    </r>
    <r>
      <rPr>
        <b/>
        <sz val="14"/>
        <color theme="1"/>
        <rFont val="Aptos"/>
        <family val="2"/>
      </rPr>
      <t>: Emissões Absolutas</t>
    </r>
    <r>
      <rPr>
        <sz val="14"/>
        <color theme="1"/>
        <rFont val="Aptos"/>
        <family val="2"/>
      </rPr>
      <t xml:space="preserve"> </t>
    </r>
  </si>
  <si>
    <r>
      <rPr>
        <b/>
        <sz val="14"/>
        <color theme="1"/>
        <rFont val="Aptos"/>
        <family val="2"/>
      </rPr>
      <t>B</t>
    </r>
    <r>
      <rPr>
        <b/>
        <vertAlign val="subscript"/>
        <sz val="14"/>
        <color theme="1"/>
        <rFont val="Aptos"/>
        <family val="2"/>
      </rPr>
      <t>e</t>
    </r>
    <r>
      <rPr>
        <b/>
        <sz val="14"/>
        <color theme="1"/>
        <rFont val="Aptos"/>
        <family val="2"/>
      </rPr>
      <t>: Emissões de Referência</t>
    </r>
    <r>
      <rPr>
        <sz val="14"/>
        <color theme="1"/>
        <rFont val="Aptos"/>
        <family val="2"/>
      </rPr>
      <t xml:space="preserve"> </t>
    </r>
  </si>
  <si>
    <t xml:space="preserve">EV_Emissões Evitadas </t>
  </si>
  <si>
    <r>
      <rPr>
        <b/>
        <sz val="14"/>
        <rFont val="Aptos"/>
        <family val="2"/>
      </rPr>
      <t>CS: Custo-Sombra</t>
    </r>
    <r>
      <rPr>
        <sz val="14"/>
        <rFont val="Aptos"/>
        <family val="2"/>
      </rPr>
      <t xml:space="preserve"> das emissões    relativas </t>
    </r>
  </si>
  <si>
    <r>
      <t xml:space="preserve"> Nº total de km percorridos num ano típico de operação / </t>
    </r>
    <r>
      <rPr>
        <sz val="8"/>
        <color theme="1"/>
        <rFont val="Calibri"/>
        <family val="2"/>
        <scheme val="minor"/>
      </rPr>
      <t>consumo anual de electricidade</t>
    </r>
  </si>
  <si>
    <t>Fator de emissão modo de transporte (kgCO2eq/p.km) - padrão</t>
  </si>
  <si>
    <t>dados do projeto</t>
  </si>
  <si>
    <t>Nº total de km por bicicleta não elétrica</t>
  </si>
  <si>
    <t>utilizador</t>
  </si>
  <si>
    <t>padrão</t>
  </si>
  <si>
    <t>Total Global (utilizador)</t>
  </si>
  <si>
    <t>Total Global (padrão)</t>
  </si>
  <si>
    <t>Fator de Emissão ( ProdT)</t>
  </si>
  <si>
    <t>Fator de Emissão (ProdT)</t>
  </si>
  <si>
    <t>ProdT</t>
  </si>
  <si>
    <t xml:space="preserve"> Total  referência sem ProdT</t>
  </si>
  <si>
    <t>Emissões referencia(ProdT)</t>
  </si>
  <si>
    <t>Emissões referencia totais (Com ProdT)</t>
  </si>
  <si>
    <r>
      <rPr>
        <b/>
        <sz val="14"/>
        <color theme="1"/>
        <rFont val="Aptos"/>
        <family val="2"/>
      </rPr>
      <t>R</t>
    </r>
    <r>
      <rPr>
        <b/>
        <vertAlign val="subscript"/>
        <sz val="14"/>
        <color theme="1"/>
        <rFont val="Aptos"/>
        <family val="2"/>
      </rPr>
      <t>e</t>
    </r>
    <r>
      <rPr>
        <b/>
        <sz val="14"/>
        <color theme="1"/>
        <rFont val="Aptos"/>
        <family val="2"/>
      </rPr>
      <t>: Emissões Relativas</t>
    </r>
    <r>
      <rPr>
        <sz val="14"/>
        <color theme="1"/>
        <rFont val="Aptos"/>
        <family val="2"/>
      </rPr>
      <t xml:space="preserve">                 </t>
    </r>
  </si>
  <si>
    <t>Emissões CO2e (ton/ano) (com ProdT)</t>
  </si>
  <si>
    <t>tCO2e/ v.km</t>
  </si>
  <si>
    <t>Nº total de motociclos elétricos previstos no projeto, num ano típico de funcionamento</t>
  </si>
  <si>
    <t>MWh/ano</t>
  </si>
  <si>
    <r>
      <t xml:space="preserve">Qual a TM expectável do </t>
    </r>
    <r>
      <rPr>
        <b/>
        <sz val="14"/>
        <color theme="1"/>
        <rFont val="Aptos"/>
        <family val="2"/>
      </rPr>
      <t>modo pedonal+ procura induzida</t>
    </r>
    <r>
      <rPr>
        <sz val="14"/>
        <color theme="1"/>
        <rFont val="Aptos"/>
        <family val="2"/>
      </rPr>
      <t xml:space="preserve"> para a bicicleta não elétrica?</t>
    </r>
  </si>
  <si>
    <r>
      <t xml:space="preserve">Qual a TM expectável do </t>
    </r>
    <r>
      <rPr>
        <b/>
        <sz val="14"/>
        <color theme="1"/>
        <rFont val="Aptos"/>
        <family val="2"/>
      </rPr>
      <t>modo pedonal + procura induzida</t>
    </r>
    <r>
      <rPr>
        <sz val="14"/>
        <color theme="1"/>
        <rFont val="Aptos"/>
        <family val="2"/>
      </rPr>
      <t xml:space="preserve"> para a bicicleta elétrica?</t>
    </r>
  </si>
  <si>
    <r>
      <t xml:space="preserve">Qual a TM expectável do </t>
    </r>
    <r>
      <rPr>
        <b/>
        <sz val="14"/>
        <color theme="1"/>
        <rFont val="Aptos"/>
        <family val="2"/>
      </rPr>
      <t>modo pedonal</t>
    </r>
    <r>
      <rPr>
        <sz val="14"/>
        <color theme="1"/>
        <rFont val="Aptos"/>
        <family val="2"/>
      </rPr>
      <t xml:space="preserve"> + </t>
    </r>
    <r>
      <rPr>
        <b/>
        <sz val="14"/>
        <color theme="1"/>
        <rFont val="Aptos"/>
        <family val="2"/>
      </rPr>
      <t>procura induzida</t>
    </r>
    <r>
      <rPr>
        <sz val="14"/>
        <color theme="1"/>
        <rFont val="Aptos"/>
        <family val="2"/>
      </rPr>
      <t xml:space="preserve"> para a moticiclo eléctrico?</t>
    </r>
  </si>
  <si>
    <r>
      <t xml:space="preserve">Qual a TM expectável do </t>
    </r>
    <r>
      <rPr>
        <b/>
        <sz val="14"/>
        <color theme="1"/>
        <rFont val="Aptos"/>
        <family val="2"/>
      </rPr>
      <t>modo pedonal + procura induzida</t>
    </r>
    <r>
      <rPr>
        <sz val="14"/>
        <color theme="1"/>
        <rFont val="Aptos"/>
        <family val="2"/>
      </rPr>
      <t xml:space="preserve"> para a trotineta </t>
    </r>
    <r>
      <rPr>
        <u/>
        <sz val="14"/>
        <color theme="1"/>
        <rFont val="Aptos"/>
        <family val="2"/>
      </rPr>
      <t>elétrica partilhada</t>
    </r>
    <r>
      <rPr>
        <sz val="14"/>
        <color theme="1"/>
        <rFont val="Aptos"/>
        <family val="2"/>
      </rPr>
      <t>?</t>
    </r>
  </si>
  <si>
    <r>
      <t xml:space="preserve">Qual a TM expectável do </t>
    </r>
    <r>
      <rPr>
        <b/>
        <sz val="14"/>
        <color theme="1"/>
        <rFont val="Aptos"/>
        <family val="2"/>
      </rPr>
      <t>modo pedonal + procura induzida</t>
    </r>
    <r>
      <rPr>
        <sz val="14"/>
        <color theme="1"/>
        <rFont val="Aptos"/>
        <family val="2"/>
      </rPr>
      <t xml:space="preserve"> para a trotineta </t>
    </r>
    <r>
      <rPr>
        <b/>
        <sz val="14"/>
        <color theme="1"/>
        <rFont val="Aptos"/>
        <family val="2"/>
      </rPr>
      <t>elétrica privada</t>
    </r>
    <r>
      <rPr>
        <sz val="14"/>
        <color theme="1"/>
        <rFont val="Aptos"/>
        <family val="2"/>
      </rPr>
      <t>?</t>
    </r>
  </si>
  <si>
    <t>Nº total de bicicletas elétricas previstas no projeto, num ano típico de funcionamento</t>
  </si>
  <si>
    <t>AML: 12,5 km;   AMP: 10 km</t>
  </si>
  <si>
    <t xml:space="preserve">Nº comboios * Nº de km  percorridos por um comboio, num ano típico de funcionamento  </t>
  </si>
  <si>
    <t xml:space="preserve">Nº médio de novos passageiros gerados pelo projeto, num ano típico de funcionamento </t>
  </si>
  <si>
    <r>
      <rPr>
        <b/>
        <sz val="14"/>
        <rFont val="Aptos"/>
        <family val="2"/>
      </rPr>
      <t>Nº médio de novos passageiros gerados pelo projeto</t>
    </r>
    <r>
      <rPr>
        <sz val="14"/>
        <rFont val="Aptos"/>
        <family val="2"/>
      </rPr>
      <t xml:space="preserve">, num ano típico de funcionamento:                                                                                                                                                                                                                                                                               Ex. 10 000 (Passageiros depois do projeto/ano) - 5 000 (Passageiros antes do projeto/ ano)= 5 000 (novos passageiros gerados pelo projeto/ ano). </t>
    </r>
    <r>
      <rPr>
        <b/>
        <sz val="14"/>
        <color rgb="FF02A39C"/>
        <rFont val="Aptos"/>
        <family val="2"/>
      </rPr>
      <t xml:space="preserve"> VALOR</t>
    </r>
    <r>
      <rPr>
        <sz val="14"/>
        <rFont val="Aptos"/>
        <family val="2"/>
      </rPr>
      <t xml:space="preserve">= 5 000                                                                                                                                                                                                                                                                                          </t>
    </r>
  </si>
  <si>
    <r>
      <t xml:space="preserve">1.  Introduzir nas colunas abaixo a </t>
    </r>
    <r>
      <rPr>
        <b/>
        <sz val="14"/>
        <color rgb="FF02A39C"/>
        <rFont val="Aptos"/>
        <family val="2"/>
      </rPr>
      <t xml:space="preserve">AZUL </t>
    </r>
    <r>
      <rPr>
        <sz val="14"/>
        <rFont val="Aptos"/>
        <family val="2"/>
      </rPr>
      <t xml:space="preserve">os </t>
    </r>
    <r>
      <rPr>
        <b/>
        <sz val="14"/>
        <rFont val="Aptos"/>
        <family val="2"/>
      </rPr>
      <t>valores médios</t>
    </r>
    <r>
      <rPr>
        <sz val="14"/>
        <rFont val="Aptos"/>
        <family val="2"/>
      </rPr>
      <t xml:space="preserve">, quando aplicável:                                                                                                                                                                                                                                                               </t>
    </r>
    <r>
      <rPr>
        <b/>
        <sz val="14"/>
        <rFont val="Aptos"/>
        <family val="2"/>
      </rPr>
      <t xml:space="preserve"> </t>
    </r>
    <r>
      <rPr>
        <sz val="14"/>
        <rFont val="Aptos"/>
        <family val="2"/>
      </rPr>
      <t xml:space="preserve"> </t>
    </r>
  </si>
  <si>
    <t xml:space="preserve">ckm / ano </t>
  </si>
  <si>
    <t xml:space="preserve">vkm / ano </t>
  </si>
  <si>
    <t xml:space="preserve">Nº comboios * Nº de km percorridos por um comboio, num ano típico de funcionamento  </t>
  </si>
  <si>
    <t>ckm / ano</t>
  </si>
  <si>
    <t xml:space="preserve">Nº elétricos * Nº de km  percorridos por um elétrico, num ano típico de funcionamento  </t>
  </si>
  <si>
    <r>
      <rPr>
        <b/>
        <sz val="14"/>
        <rFont val="Aptos"/>
        <family val="2"/>
      </rPr>
      <t xml:space="preserve">Nº de comboios/ elétricos * Nº km (km percorridos em média por um comboio/ elétrico), </t>
    </r>
    <r>
      <rPr>
        <sz val="14"/>
        <rFont val="Aptos"/>
        <family val="2"/>
      </rPr>
      <t xml:space="preserve">num ano típico de funcionamento:                                                                                                                                                                                                                    (A) </t>
    </r>
    <r>
      <rPr>
        <u/>
        <sz val="14"/>
        <rFont val="Aptos"/>
        <family val="2"/>
      </rPr>
      <t>Projetos de redes e vias</t>
    </r>
    <r>
      <rPr>
        <sz val="14"/>
        <rFont val="Aptos"/>
        <family val="2"/>
      </rPr>
      <t xml:space="preserve"> - Nº comboios (valor médio) * Nº de km de rede/ via a construir/ ampliar/ melhorar pelo projeto, num ano. Ex. o projeto prevê a melhoria de 20 km de via ferroviária onde circulam 10 comboios (em adição ao material circulante/frota existente), em média, por dia =20*10*365= 73 000 ckm. </t>
    </r>
    <r>
      <rPr>
        <b/>
        <sz val="14"/>
        <color rgb="FF02A39C"/>
        <rFont val="Aptos"/>
        <family val="2"/>
      </rPr>
      <t>VALOR</t>
    </r>
    <r>
      <rPr>
        <sz val="14"/>
        <rFont val="Aptos"/>
        <family val="2"/>
      </rPr>
      <t xml:space="preserve">= 73 000                                                                                                                                                                                                               (B) </t>
    </r>
    <r>
      <rPr>
        <u/>
        <sz val="14"/>
        <rFont val="Aptos"/>
        <family val="2"/>
      </rPr>
      <t xml:space="preserve">Projetos de aquisição de transporte de passageiros </t>
    </r>
    <r>
      <rPr>
        <sz val="14"/>
        <rFont val="Aptos"/>
        <family val="2"/>
      </rPr>
      <t xml:space="preserve">- Nº comboios/ elétricos a adquirir (em adição ao material circulante/frota existente) * Nº médio de km percorridos por comboio/elétrico, num ano. Ex. o projeto prevê a aquisição de 20 novos comboios em adição ao material circulante existente (10 comboios); 5 comboios foram para abate;  cada comboio percorre 20 000 km num ano = (20+10-5)*20 000= 500 000 ckm.  </t>
    </r>
    <r>
      <rPr>
        <b/>
        <sz val="14"/>
        <color rgb="FF02A39C"/>
        <rFont val="Aptos"/>
        <family val="2"/>
      </rPr>
      <t>VALOR</t>
    </r>
    <r>
      <rPr>
        <sz val="14"/>
        <rFont val="Aptos"/>
        <family val="2"/>
      </rPr>
      <t xml:space="preserve">= 500 000 </t>
    </r>
  </si>
  <si>
    <t xml:space="preserve">Nº autocarros * Nº de km percorridos por um autocarro, num ano típico de funcionamento  </t>
  </si>
  <si>
    <r>
      <rPr>
        <b/>
        <sz val="14"/>
        <color theme="1"/>
        <rFont val="Aptos"/>
        <family val="2"/>
      </rPr>
      <t>R</t>
    </r>
    <r>
      <rPr>
        <b/>
        <vertAlign val="subscript"/>
        <sz val="14"/>
        <color theme="1"/>
        <rFont val="Aptos"/>
        <family val="2"/>
      </rPr>
      <t>e_</t>
    </r>
    <r>
      <rPr>
        <b/>
        <sz val="14"/>
        <color theme="1"/>
        <rFont val="Aptos"/>
        <family val="2"/>
      </rPr>
      <t xml:space="preserve"> Emissões Relativas</t>
    </r>
    <r>
      <rPr>
        <sz val="14"/>
        <color theme="1"/>
        <rFont val="Aptos"/>
        <family val="2"/>
      </rPr>
      <t xml:space="preserve"> Totais </t>
    </r>
  </si>
  <si>
    <t>Fator de Emissão (sem ProdT) (kg/pkm)</t>
  </si>
  <si>
    <t>Emissões de referencia com ProdT (ton/p.km)</t>
  </si>
  <si>
    <t xml:space="preserve">Emissões referencia </t>
  </si>
  <si>
    <t xml:space="preserve">Nº médio de novos passageiros gerados pelo projeto* Nº autocarros * Nº de km percorridos por um autocarro, num ano típico de funcionamento  </t>
  </si>
  <si>
    <r>
      <t>1. Introduzir o fator de emissão de GEE (campo "</t>
    </r>
    <r>
      <rPr>
        <b/>
        <sz val="14"/>
        <color rgb="FF002060"/>
        <rFont val="Aptos"/>
        <family val="2"/>
      </rPr>
      <t>Valor</t>
    </r>
    <r>
      <rPr>
        <sz val="14"/>
        <rFont val="Aptos"/>
        <family val="2"/>
      </rPr>
      <t>" a</t>
    </r>
    <r>
      <rPr>
        <b/>
        <sz val="14"/>
        <color rgb="FF002060"/>
        <rFont val="Aptos"/>
        <family val="2"/>
      </rPr>
      <t xml:space="preserve"> AZUL escuro</t>
    </r>
    <r>
      <rPr>
        <sz val="14"/>
        <rFont val="Aptos"/>
        <family val="2"/>
      </rPr>
      <t xml:space="preserve">) para a eletricidade que pretende utilizar nos cálculos de emissões de GEE. A introdução deste fator de emissão é </t>
    </r>
    <r>
      <rPr>
        <b/>
        <sz val="14"/>
        <rFont val="Aptos"/>
        <family val="2"/>
      </rPr>
      <t>obrigatória</t>
    </r>
    <r>
      <rPr>
        <sz val="14"/>
        <rFont val="Aptos"/>
        <family val="2"/>
      </rPr>
      <t xml:space="preserve"> para a realização dos cálculos.</t>
    </r>
  </si>
  <si>
    <t>Local de origem (NUTS - 2013) (1)</t>
  </si>
  <si>
    <t xml:space="preserve">Passageiros-quilómetro transportados (N.º) pelas empresas de transporte rodoviário de passageiros por Local de origem (NUTS - 2013) e Tipo de serviço; Anual (3) </t>
  </si>
  <si>
    <t xml:space="preserve">Lugares-quilómetro oferecidos (N.º) pelas empresas de transporte rodoviário de passageiros por Local de origem (NUTS - 2013) e Tipo de serviço; Anual (3) </t>
  </si>
  <si>
    <t xml:space="preserve">Período de referência dos dados (2) </t>
  </si>
  <si>
    <t>Tipo de serviço</t>
  </si>
  <si>
    <t>Regular - carreiras</t>
  </si>
  <si>
    <t/>
  </si>
  <si>
    <t>18</t>
  </si>
  <si>
    <t>2</t>
  </si>
  <si>
    <t>20</t>
  </si>
  <si>
    <t>3</t>
  </si>
  <si>
    <t>30</t>
  </si>
  <si>
    <t>Passageiros-quilómetro transportados (N.º) pelas empresas de transporte rodoviário de passageiros por Local de origem (NUTS - 2013) e Tipo de serviço; Anual - INE, Inquérito ao transporte rodoviário de passageiros</t>
  </si>
  <si>
    <t>Lugares-quilómetro oferecidos (N.º) pelas empresas de transporte rodoviário de passageiros por Local de origem (NUTS - 2013) e Tipo de serviço; Anual - INE, Inquérito ao transporte rodoviário de passageiros</t>
  </si>
  <si>
    <t>Tx acupação autocarros</t>
  </si>
  <si>
    <t>Minibus- GNC (&lt; 40 passageiros)</t>
  </si>
  <si>
    <t>Minibus- Gasóleo (&lt; 40 passageiros)</t>
  </si>
  <si>
    <t>Estimativa equipa IST com taxa de ocupação 17% (Portugal) dados do INE (2023); (NUTS - 2013); Anual - INE, Inquérito ao transporte rodoviário de passageiros transportes rodoviários (urbano+ suburbano + interurbano)</t>
  </si>
  <si>
    <t>Estimativa equipa IST com FE electricidade Rede Nacional com Taxa de ocupação 20% para a Carris descrita em Ferreira, F. et al.  (2025). Mobilidade e Transportes nas Áreas Metropolitanas em Portugal - RELATÓRIO FINAL.</t>
  </si>
  <si>
    <t>Estimativa equipa IST com FE electricidade Rede Nacional com Taxa de ocupação 33% para a STCP descrita em Ferreira, F. et al.  (2025). Mobilidade e Transportes nas Áreas Metropolitanas em Portugal - RELATÓRIO FINAL.</t>
  </si>
  <si>
    <t>p.km (Lisboa)</t>
  </si>
  <si>
    <t>p.km (Porto)</t>
  </si>
  <si>
    <t>Emissões de Referência com ProdT</t>
  </si>
  <si>
    <t>Minibus: combustão (&lt; 40 passageiros)</t>
  </si>
  <si>
    <t>Minibus: elétrico (&lt; 40 passageiros)</t>
  </si>
  <si>
    <r>
      <rPr>
        <b/>
        <sz val="14"/>
        <rFont val="Aptos"/>
        <family val="2"/>
      </rPr>
      <t xml:space="preserve">Nota 3: </t>
    </r>
    <r>
      <rPr>
        <sz val="14"/>
        <rFont val="Aptos"/>
        <family val="2"/>
      </rPr>
      <t>Para utilizar o fator de emissão de material circulante a combustão (gasóleo) consultar o separador "Fatores de emissão". Este fator de emissão, ou fatores de emissão específicos do material circulante a combustão, podem ser introduzidos em "</t>
    </r>
    <r>
      <rPr>
        <b/>
        <sz val="14"/>
        <rFont val="Aptos"/>
        <family val="2"/>
      </rPr>
      <t>Outro material circulante</t>
    </r>
    <r>
      <rPr>
        <sz val="14"/>
        <rFont val="Aptos"/>
        <family val="2"/>
      </rPr>
      <t>".</t>
    </r>
  </si>
  <si>
    <t>TM4_ vias navegáveis interiores</t>
  </si>
  <si>
    <t>APA (2022), NIR, não publicado</t>
  </si>
  <si>
    <t>Fator de emissão GEE do utilizador</t>
  </si>
  <si>
    <t xml:space="preserve">embarcação. km / ano </t>
  </si>
  <si>
    <t>Navios/ embarcações elétricas</t>
  </si>
  <si>
    <t xml:space="preserve">Nº navios/embarcações * Nº de km percorridos por um navio/embarcação, num ano típico de funcionamento  </t>
  </si>
  <si>
    <t xml:space="preserve">Outros navios/ embarcações </t>
  </si>
  <si>
    <r>
      <rPr>
        <b/>
        <sz val="14"/>
        <rFont val="Aptos"/>
        <family val="2"/>
      </rPr>
      <t xml:space="preserve">Nº de navios/embarcações * Nº km (km percorridos em média por um comboio/ elétrico), </t>
    </r>
    <r>
      <rPr>
        <sz val="14"/>
        <rFont val="Aptos"/>
        <family val="2"/>
      </rPr>
      <t xml:space="preserve">num ano típico de funcionamento:                                                                                                                                                                                                                                                                                                                                                                                                                                </t>
    </r>
    <r>
      <rPr>
        <u/>
        <sz val="14"/>
        <rFont val="Aptos"/>
        <family val="2"/>
      </rPr>
      <t xml:space="preserve">Projetos de aquisição de transporte de passageiros </t>
    </r>
    <r>
      <rPr>
        <sz val="14"/>
        <rFont val="Aptos"/>
        <family val="2"/>
      </rPr>
      <t xml:space="preserve">- Nº de navios/embarcações a adquirir (em adição à frota existente) * Nº médio de km percorridos por navio/embarcação, num ano. Ex. o projeto prevê a aquisição de 20 novas embarcações em adição à frota existente (10 embarcações); 5 embarcações foram para abate;  cada embarcação percorre 20 000 km num ano = (20+10-5)*20 000= 500 000 embarcação. km.  </t>
    </r>
    <r>
      <rPr>
        <b/>
        <sz val="14"/>
        <color rgb="FF02A39C"/>
        <rFont val="Aptos"/>
        <family val="2"/>
      </rPr>
      <t>VALOR</t>
    </r>
    <r>
      <rPr>
        <sz val="14"/>
        <rFont val="Aptos"/>
        <family val="2"/>
      </rPr>
      <t xml:space="preserve">= 500 000 </t>
    </r>
  </si>
  <si>
    <r>
      <t xml:space="preserve">Qual a </t>
    </r>
    <r>
      <rPr>
        <b/>
        <sz val="14"/>
        <color theme="1"/>
        <rFont val="Aptos"/>
        <family val="2"/>
      </rPr>
      <t>procura induzida</t>
    </r>
    <r>
      <rPr>
        <sz val="14"/>
        <color theme="1"/>
        <rFont val="Aptos"/>
        <family val="2"/>
      </rPr>
      <t xml:space="preserve"> para o barco elétrico?</t>
    </r>
  </si>
  <si>
    <t>Outras embarcações</t>
  </si>
  <si>
    <t>Nº médio de passageiros* Nº embarcações *Nº total de km percorridos num ano típico de operação / consumo anual de electricidade</t>
  </si>
  <si>
    <t xml:space="preserve">Fator de emissão de GEE - navios/embarcações </t>
  </si>
  <si>
    <t>Outros navios/ embarcações</t>
  </si>
  <si>
    <t xml:space="preserve">Fator de emissão de GEE - produção do transporte </t>
  </si>
  <si>
    <r>
      <rPr>
        <b/>
        <sz val="14"/>
        <rFont val="Aptos"/>
        <family val="2"/>
      </rPr>
      <t xml:space="preserve">Outros consumos de eletricidade: </t>
    </r>
    <r>
      <rPr>
        <sz val="14"/>
        <rFont val="Aptos"/>
        <family val="2"/>
      </rPr>
      <t>Consumo anual de eletricidade (ex. iluminação; unidades de ar condicionado em edifícios) num ano típico de funcionamento (i.e. ano típico= n+2 em que "n" é o ano de ínicio de operação do projeto)</t>
    </r>
  </si>
  <si>
    <r>
      <rPr>
        <b/>
        <sz val="14"/>
        <rFont val="Aptos"/>
        <family val="2"/>
      </rPr>
      <t xml:space="preserve">Outros consumos de eletricidade: </t>
    </r>
    <r>
      <rPr>
        <sz val="14"/>
        <rFont val="Aptos"/>
        <family val="2"/>
      </rPr>
      <t>Consumo anual de eletricidade (ex. unidades de ar condicionado em edifícios) num ano típico de funcionamento (i.e. ano típico= n+2 em que "n" é o ano de ínicio de operação do projeto)</t>
    </r>
  </si>
  <si>
    <t xml:space="preserve">Fator de emissão de GEE - outros navios/ embarcações </t>
  </si>
  <si>
    <t>Emissões CO2e (ton ProdT kg/ano) (sem ProdT)</t>
  </si>
  <si>
    <t>Fator de emissão (ProdT)  (kg CO2e/p.km)</t>
  </si>
  <si>
    <t>Transferências Modais - naviois/ embarcações</t>
  </si>
  <si>
    <t>Transferências Modais - navios/ embarcações</t>
  </si>
  <si>
    <t>procura induzida</t>
  </si>
  <si>
    <t>Procura induzida</t>
  </si>
  <si>
    <t>% captação</t>
  </si>
  <si>
    <t>C= B* FE                                                 Emissões Referência  (sem ProdT)- ton CO2e/pkm</t>
  </si>
  <si>
    <t>Total de emissões referência (tCO2/pkm)</t>
  </si>
  <si>
    <t>Emissões Referência - ProdT</t>
  </si>
  <si>
    <t>Hibrido (plug in) elétrico</t>
  </si>
  <si>
    <t>emissões referência com ProdT (ton/p.km)</t>
  </si>
  <si>
    <t>Valores padrão</t>
  </si>
  <si>
    <t>emissões referência da ProdT (ton/p.km)</t>
  </si>
  <si>
    <t>C= B* FE                                                 Emissões Referência  (ProdT)- ton CO2e/pkm</t>
  </si>
  <si>
    <t>3.3 Resultados: Indicadores (eletricidade)</t>
  </si>
  <si>
    <t>1. Selecionar a opção disponibilizada no campo "Fator de Emissão a utilizar" relativa ao fator de emissão de GEE a utilizar para calcular as emissões de GEE dos navios/embarcações incluídos no projeto:</t>
  </si>
  <si>
    <r>
      <t>Cálculo das emissões absolutas (A</t>
    </r>
    <r>
      <rPr>
        <vertAlign val="subscript"/>
        <sz val="12"/>
        <rFont val="Aptos"/>
        <family val="2"/>
      </rPr>
      <t>b</t>
    </r>
    <r>
      <rPr>
        <sz val="12"/>
        <rFont val="Aptos"/>
        <family val="2"/>
      </rPr>
      <t>), das emissões emissões de referência (B</t>
    </r>
    <r>
      <rPr>
        <vertAlign val="subscript"/>
        <sz val="12"/>
        <rFont val="Aptos"/>
        <family val="2"/>
      </rPr>
      <t>e</t>
    </r>
    <r>
      <rPr>
        <sz val="12"/>
        <rFont val="Aptos"/>
        <family val="2"/>
      </rPr>
      <t>) e das emissões relativas (R</t>
    </r>
    <r>
      <rPr>
        <vertAlign val="subscript"/>
        <sz val="12"/>
        <rFont val="Aptos"/>
        <family val="2"/>
      </rPr>
      <t>e</t>
    </r>
    <r>
      <rPr>
        <sz val="12"/>
        <rFont val="Aptos"/>
        <family val="2"/>
      </rPr>
      <t>= A</t>
    </r>
    <r>
      <rPr>
        <vertAlign val="subscript"/>
        <sz val="12"/>
        <rFont val="Aptos"/>
        <family val="2"/>
      </rPr>
      <t>b</t>
    </r>
    <r>
      <rPr>
        <sz val="12"/>
        <rFont val="Aptos"/>
        <family val="2"/>
      </rPr>
      <t xml:space="preserve"> - B</t>
    </r>
    <r>
      <rPr>
        <vertAlign val="subscript"/>
        <sz val="12"/>
        <rFont val="Aptos"/>
        <family val="2"/>
      </rPr>
      <t>e</t>
    </r>
    <r>
      <rPr>
        <sz val="12"/>
        <rFont val="Aptos"/>
        <family val="2"/>
      </rPr>
      <t>)  de projetos de transporte de passageiros em vias navegáveis interiores que impliquem transferência modal.</t>
    </r>
  </si>
  <si>
    <t xml:space="preserve">Projetos de aquisição de nova frota de navios/embarcações; Projetos de renovação de frota de navios/embarcações, em que se preveja haver transferência modal (ex. substituição total ou parcial de frota por outra com maior capacidade/ mais conveniente). </t>
  </si>
  <si>
    <t xml:space="preserve">Os projectos relacionados com o transporte de passageiros em vias navegáveis interiores podem estar integrados noutros projectos mais  abrangentes (parques de estacionamento associados a interfaces modais).                                                                                                                                                   </t>
  </si>
  <si>
    <r>
      <t xml:space="preserve">2. Esclarecer quaisquer </t>
    </r>
    <r>
      <rPr>
        <b/>
        <sz val="14"/>
        <rFont val="Aptos"/>
        <family val="2"/>
      </rPr>
      <t xml:space="preserve">dúvidas sobre conceitos e termos </t>
    </r>
    <r>
      <rPr>
        <sz val="14"/>
        <rFont val="Aptos"/>
        <family val="2"/>
      </rPr>
      <t xml:space="preserve">utilizados na calculadora no separador </t>
    </r>
    <r>
      <rPr>
        <b/>
        <sz val="14"/>
        <rFont val="Aptos"/>
        <family val="2"/>
      </rPr>
      <t>"Glossário</t>
    </r>
    <r>
      <rPr>
        <sz val="14"/>
        <rFont val="Aptos"/>
        <family val="2"/>
      </rPr>
      <t xml:space="preserve">". </t>
    </r>
    <r>
      <rPr>
        <b/>
        <sz val="14"/>
        <rFont val="Aptos"/>
        <family val="2"/>
      </rPr>
      <t>Nota:</t>
    </r>
    <r>
      <rPr>
        <sz val="14"/>
        <rFont val="Aptos"/>
        <family val="2"/>
      </rPr>
      <t xml:space="preserve"> Na GEE_mobilidade poderão, por vezes, ser utilizados termos não técnicos, de forma coloquial, de modo a assegurar a sua clareza a utilizadores provenientes de áreas de formação diversa.</t>
    </r>
  </si>
  <si>
    <t xml:space="preserve">                                                                                                                                                  </t>
  </si>
  <si>
    <r>
      <t>Cálculo das emissões absolutas (A</t>
    </r>
    <r>
      <rPr>
        <vertAlign val="subscript"/>
        <sz val="12"/>
        <rFont val="Aptos"/>
        <family val="2"/>
      </rPr>
      <t>b</t>
    </r>
    <r>
      <rPr>
        <sz val="12"/>
        <rFont val="Aptos"/>
        <family val="2"/>
      </rPr>
      <t>), das emissões emissões de referência (B</t>
    </r>
    <r>
      <rPr>
        <vertAlign val="subscript"/>
        <sz val="12"/>
        <rFont val="Aptos"/>
        <family val="2"/>
      </rPr>
      <t>e</t>
    </r>
    <r>
      <rPr>
        <sz val="12"/>
        <rFont val="Aptos"/>
        <family val="2"/>
      </rPr>
      <t>) e das emissões relativas (R</t>
    </r>
    <r>
      <rPr>
        <vertAlign val="subscript"/>
        <sz val="12"/>
        <rFont val="Aptos"/>
        <family val="2"/>
      </rPr>
      <t>e</t>
    </r>
    <r>
      <rPr>
        <sz val="12"/>
        <rFont val="Aptos"/>
        <family val="2"/>
      </rPr>
      <t>= A</t>
    </r>
    <r>
      <rPr>
        <vertAlign val="subscript"/>
        <sz val="12"/>
        <rFont val="Aptos"/>
        <family val="2"/>
      </rPr>
      <t>b</t>
    </r>
    <r>
      <rPr>
        <sz val="12"/>
        <rFont val="Aptos"/>
        <family val="2"/>
      </rPr>
      <t xml:space="preserve"> - B</t>
    </r>
    <r>
      <rPr>
        <vertAlign val="subscript"/>
        <sz val="12"/>
        <rFont val="Aptos"/>
        <family val="2"/>
      </rPr>
      <t>e</t>
    </r>
    <r>
      <rPr>
        <sz val="12"/>
        <rFont val="Aptos"/>
        <family val="2"/>
      </rPr>
      <t>)  de projetos relacionados com parques de estacionamento associados a interfaces modais que impliquem transferência modal.</t>
    </r>
  </si>
  <si>
    <t>Nº total de bicicletas não elétricas previstas no projeto, num ano típico de funcionamento</t>
  </si>
  <si>
    <t xml:space="preserve">TM1_ projetos de micromobilidade </t>
  </si>
  <si>
    <t>Nº total de utilizadores do estacionamento com potencial de transferência modal, num ano típico de funcionamento</t>
  </si>
  <si>
    <t>Nº total de km evitados, por transferência modal, num ano típico de funcionamento</t>
  </si>
  <si>
    <t>Automóvel a combustão- gasolina</t>
  </si>
  <si>
    <t>Outro tipo de veículo</t>
  </si>
  <si>
    <t>Automóvel a combustão- GPL</t>
  </si>
  <si>
    <t>Automóvel hibrido (Plug In)</t>
  </si>
  <si>
    <r>
      <t xml:space="preserve">Fator de emissão de GEE - </t>
    </r>
    <r>
      <rPr>
        <b/>
        <sz val="14"/>
        <color theme="1"/>
        <rFont val="Aptos"/>
        <family val="2"/>
      </rPr>
      <t>outro tipo de veículo</t>
    </r>
  </si>
  <si>
    <r>
      <t xml:space="preserve">Fator de emissão de GEE- </t>
    </r>
    <r>
      <rPr>
        <b/>
        <sz val="14"/>
        <color theme="1"/>
        <rFont val="Aptos"/>
        <family val="2"/>
      </rPr>
      <t>GPL</t>
    </r>
  </si>
  <si>
    <r>
      <t xml:space="preserve">Fator de emissão de GEE- </t>
    </r>
    <r>
      <rPr>
        <b/>
        <sz val="14"/>
        <color theme="1"/>
        <rFont val="Aptos"/>
        <family val="2"/>
      </rPr>
      <t>gasolina</t>
    </r>
  </si>
  <si>
    <r>
      <t xml:space="preserve">Fator de emissão de GEE- </t>
    </r>
    <r>
      <rPr>
        <b/>
        <sz val="14"/>
        <color theme="1"/>
        <rFont val="Aptos"/>
        <family val="2"/>
      </rPr>
      <t>gasóleo</t>
    </r>
  </si>
  <si>
    <r>
      <t xml:space="preserve">Fator de emissão de GEE- </t>
    </r>
    <r>
      <rPr>
        <b/>
        <sz val="14"/>
        <color theme="1"/>
        <rFont val="Aptos"/>
        <family val="2"/>
      </rPr>
      <t>híbrido (Plug In)</t>
    </r>
  </si>
  <si>
    <r>
      <t xml:space="preserve">Fator de emissão de GEE- </t>
    </r>
    <r>
      <rPr>
        <b/>
        <sz val="14"/>
        <color theme="1"/>
        <rFont val="Aptos"/>
        <family val="2"/>
      </rPr>
      <t>bateria (iões de lítio)</t>
    </r>
  </si>
  <si>
    <t>Distância média das deslocações em motociclo: AML: 11,8 km; AMP: 7,4 km</t>
  </si>
  <si>
    <r>
      <rPr>
        <b/>
        <sz val="14"/>
        <rFont val="Aptos"/>
        <family val="2"/>
      </rPr>
      <t>Nº total de utilizadores do estacionamento, com potencial de transferência modal,</t>
    </r>
    <r>
      <rPr>
        <sz val="14"/>
        <rFont val="Aptos"/>
        <family val="2"/>
      </rPr>
      <t xml:space="preserve"> num ano típico de funcionamento                  </t>
    </r>
  </si>
  <si>
    <t>Distância média das deslocações em automóvel: AML: 15 km; AMP: 13,5 km</t>
  </si>
  <si>
    <r>
      <t xml:space="preserve">Qual a TM expectável do </t>
    </r>
    <r>
      <rPr>
        <b/>
        <sz val="14"/>
        <color theme="1"/>
        <rFont val="Aptos"/>
        <family val="2"/>
      </rPr>
      <t xml:space="preserve">automóvel </t>
    </r>
    <r>
      <rPr>
        <sz val="14"/>
        <color theme="1"/>
        <rFont val="Aptos"/>
        <family val="2"/>
      </rPr>
      <t xml:space="preserve">para a </t>
    </r>
    <r>
      <rPr>
        <b/>
        <sz val="14"/>
        <color theme="1"/>
        <rFont val="Aptos"/>
        <family val="2"/>
      </rPr>
      <t>bicicleta não elétrica partilhada</t>
    </r>
    <r>
      <rPr>
        <sz val="14"/>
        <color theme="1"/>
        <rFont val="Aptos"/>
        <family val="2"/>
      </rPr>
      <t>?</t>
    </r>
  </si>
  <si>
    <r>
      <t xml:space="preserve">Qual a TM expectável do </t>
    </r>
    <r>
      <rPr>
        <b/>
        <sz val="14"/>
        <color theme="1"/>
        <rFont val="Aptos"/>
        <family val="2"/>
      </rPr>
      <t>automóvel</t>
    </r>
    <r>
      <rPr>
        <sz val="14"/>
        <color theme="1"/>
        <rFont val="Aptos"/>
        <family val="2"/>
      </rPr>
      <t xml:space="preserve"> para a </t>
    </r>
    <r>
      <rPr>
        <b/>
        <sz val="14"/>
        <color theme="1"/>
        <rFont val="Aptos"/>
        <family val="2"/>
      </rPr>
      <t>bicicleta elétrica partilhada</t>
    </r>
    <r>
      <rPr>
        <sz val="14"/>
        <color theme="1"/>
        <rFont val="Aptos"/>
        <family val="2"/>
      </rPr>
      <t>?</t>
    </r>
  </si>
  <si>
    <r>
      <t xml:space="preserve">Qual a TM expectável do </t>
    </r>
    <r>
      <rPr>
        <b/>
        <sz val="14"/>
        <color theme="1"/>
        <rFont val="Aptos"/>
        <family val="2"/>
      </rPr>
      <t>automóvel</t>
    </r>
    <r>
      <rPr>
        <sz val="14"/>
        <color theme="1"/>
        <rFont val="Aptos"/>
        <family val="2"/>
      </rPr>
      <t xml:space="preserve"> para a </t>
    </r>
    <r>
      <rPr>
        <b/>
        <sz val="14"/>
        <color theme="1"/>
        <rFont val="Aptos"/>
        <family val="2"/>
      </rPr>
      <t>trotineta elétrica partilhada</t>
    </r>
    <r>
      <rPr>
        <sz val="14"/>
        <color theme="1"/>
        <rFont val="Aptos"/>
        <family val="2"/>
      </rPr>
      <t>?</t>
    </r>
  </si>
  <si>
    <r>
      <t xml:space="preserve">Qual a TM expectável do </t>
    </r>
    <r>
      <rPr>
        <b/>
        <sz val="14"/>
        <color theme="1"/>
        <rFont val="Aptos"/>
        <family val="2"/>
      </rPr>
      <t>automóvel</t>
    </r>
    <r>
      <rPr>
        <sz val="14"/>
        <color theme="1"/>
        <rFont val="Aptos"/>
        <family val="2"/>
      </rPr>
      <t xml:space="preserve"> para o </t>
    </r>
    <r>
      <rPr>
        <b/>
        <sz val="14"/>
        <color theme="1"/>
        <rFont val="Aptos"/>
        <family val="2"/>
      </rPr>
      <t>autocarro</t>
    </r>
    <r>
      <rPr>
        <sz val="14"/>
        <color theme="1"/>
        <rFont val="Aptos"/>
        <family val="2"/>
      </rPr>
      <t>?</t>
    </r>
  </si>
  <si>
    <r>
      <t xml:space="preserve">Qual a TM expectável do </t>
    </r>
    <r>
      <rPr>
        <b/>
        <sz val="14"/>
        <color theme="1"/>
        <rFont val="Aptos"/>
        <family val="2"/>
      </rPr>
      <t>automóvel</t>
    </r>
    <r>
      <rPr>
        <sz val="14"/>
        <color theme="1"/>
        <rFont val="Aptos"/>
        <family val="2"/>
      </rPr>
      <t xml:space="preserve"> para o </t>
    </r>
    <r>
      <rPr>
        <b/>
        <sz val="14"/>
        <color theme="1"/>
        <rFont val="Aptos"/>
        <family val="2"/>
      </rPr>
      <t>comboio urbano</t>
    </r>
    <r>
      <rPr>
        <sz val="14"/>
        <color theme="1"/>
        <rFont val="Aptos"/>
        <family val="2"/>
      </rPr>
      <t>?</t>
    </r>
  </si>
  <si>
    <r>
      <t xml:space="preserve">Qual a TM expectável do </t>
    </r>
    <r>
      <rPr>
        <b/>
        <sz val="14"/>
        <color theme="1"/>
        <rFont val="Aptos"/>
        <family val="2"/>
      </rPr>
      <t>automóvel</t>
    </r>
    <r>
      <rPr>
        <sz val="14"/>
        <color theme="1"/>
        <rFont val="Aptos"/>
        <family val="2"/>
      </rPr>
      <t xml:space="preserve"> para o </t>
    </r>
    <r>
      <rPr>
        <b/>
        <sz val="14"/>
        <color theme="1"/>
        <rFont val="Aptos"/>
        <family val="2"/>
      </rPr>
      <t>navio/embarcação</t>
    </r>
    <r>
      <rPr>
        <sz val="14"/>
        <color theme="1"/>
        <rFont val="Aptos"/>
        <family val="2"/>
      </rPr>
      <t xml:space="preserve"> </t>
    </r>
    <r>
      <rPr>
        <b/>
        <sz val="14"/>
        <color theme="1"/>
        <rFont val="Aptos"/>
        <family val="2"/>
      </rPr>
      <t>(transporte de passageiros)</t>
    </r>
    <r>
      <rPr>
        <sz val="14"/>
        <color theme="1"/>
        <rFont val="Aptos"/>
        <family val="2"/>
      </rPr>
      <t>?</t>
    </r>
  </si>
  <si>
    <t>Automóveis elétricos</t>
  </si>
  <si>
    <t>Automóvel elétrico-bateria (iões de lítio)</t>
  </si>
  <si>
    <t>Automóvel hibrido (motor desconhecido)</t>
  </si>
  <si>
    <t>I- % tipologia automóvel (utilizador)</t>
  </si>
  <si>
    <t>II- % tipologia automóvel (padrão)</t>
  </si>
  <si>
    <t>% tipologia automóvel</t>
  </si>
  <si>
    <t>A. Outros consumos de eletricidade</t>
  </si>
  <si>
    <t>B. Utilizadores</t>
  </si>
  <si>
    <t>D. 1 Tipologia de veículos - utilizador</t>
  </si>
  <si>
    <r>
      <t xml:space="preserve">Fator de emissão de GEE - </t>
    </r>
    <r>
      <rPr>
        <b/>
        <sz val="14"/>
        <color theme="1"/>
        <rFont val="Aptos"/>
        <family val="2"/>
      </rPr>
      <t>produção do</t>
    </r>
    <r>
      <rPr>
        <sz val="14"/>
        <color theme="1"/>
        <rFont val="Aptos"/>
        <family val="2"/>
      </rPr>
      <t xml:space="preserve"> </t>
    </r>
    <r>
      <rPr>
        <b/>
        <sz val="14"/>
        <color theme="1"/>
        <rFont val="Aptos"/>
        <family val="2"/>
      </rPr>
      <t>"outro tipo de veículo" (ProdT)</t>
    </r>
  </si>
  <si>
    <r>
      <t xml:space="preserve">Qual a TM expectável do </t>
    </r>
    <r>
      <rPr>
        <b/>
        <sz val="14"/>
        <color theme="1"/>
        <rFont val="Aptos"/>
        <family val="2"/>
      </rPr>
      <t xml:space="preserve">outro tipo de veículo </t>
    </r>
    <r>
      <rPr>
        <sz val="14"/>
        <color theme="1"/>
        <rFont val="Aptos"/>
        <family val="2"/>
      </rPr>
      <t xml:space="preserve">para a </t>
    </r>
    <r>
      <rPr>
        <b/>
        <sz val="14"/>
        <color theme="1"/>
        <rFont val="Aptos"/>
        <family val="2"/>
      </rPr>
      <t>bicicleta não elétrica partilhada</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</si>
  <si>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a </t>
    </r>
    <r>
      <rPr>
        <b/>
        <sz val="14"/>
        <color theme="1"/>
        <rFont val="Aptos"/>
        <family val="2"/>
      </rPr>
      <t>bicicleta elétrica partilhada</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</si>
  <si>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a </t>
    </r>
    <r>
      <rPr>
        <b/>
        <sz val="14"/>
        <color theme="1"/>
        <rFont val="Aptos"/>
        <family val="2"/>
      </rPr>
      <t>trotineta elétrica partilhada</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</si>
  <si>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o </t>
    </r>
    <r>
      <rPr>
        <b/>
        <sz val="14"/>
        <color theme="1"/>
        <rFont val="Aptos"/>
        <family val="2"/>
      </rPr>
      <t>autocarro</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</si>
  <si>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o </t>
    </r>
    <r>
      <rPr>
        <b/>
        <sz val="14"/>
        <color theme="1"/>
        <rFont val="Aptos"/>
        <family val="2"/>
      </rPr>
      <t>comboio urbano</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</si>
  <si>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o </t>
    </r>
    <r>
      <rPr>
        <b/>
        <sz val="14"/>
        <color theme="1"/>
        <rFont val="Aptos"/>
        <family val="2"/>
      </rPr>
      <t>navio/embarcação</t>
    </r>
    <r>
      <rPr>
        <sz val="14"/>
        <color theme="1"/>
        <rFont val="Aptos"/>
        <family val="2"/>
      </rPr>
      <t xml:space="preserve"> </t>
    </r>
    <r>
      <rPr>
        <b/>
        <sz val="14"/>
        <color theme="1"/>
        <rFont val="Aptos"/>
        <family val="2"/>
      </rPr>
      <t>(transporte de passageiros)</t>
    </r>
    <r>
      <rPr>
        <sz val="14"/>
        <color theme="1"/>
        <rFont val="Aptos"/>
        <family val="2"/>
      </rPr>
      <t>?</t>
    </r>
  </si>
  <si>
    <t xml:space="preserve">Outro tipo de veículo </t>
  </si>
  <si>
    <r>
      <t xml:space="preserve">Qual a TM expectável do </t>
    </r>
    <r>
      <rPr>
        <b/>
        <sz val="14"/>
        <color theme="1"/>
        <rFont val="Aptos"/>
        <family val="2"/>
      </rPr>
      <t>outro tipo de veículo</t>
    </r>
    <r>
      <rPr>
        <sz val="14"/>
        <color theme="1"/>
        <rFont val="Aptos"/>
        <family val="2"/>
      </rPr>
      <t xml:space="preserve"> para o </t>
    </r>
    <r>
      <rPr>
        <b/>
        <sz val="14"/>
        <color theme="1"/>
        <rFont val="Aptos"/>
        <family val="2"/>
      </rPr>
      <t>modo pedonal + procura induzida</t>
    </r>
    <r>
      <rPr>
        <sz val="14"/>
        <color theme="1"/>
        <rFont val="Aptos"/>
        <family val="2"/>
      </rPr>
      <t xml:space="preserve"> ?</t>
    </r>
  </si>
  <si>
    <r>
      <t xml:space="preserve">Qual a TM expectável do </t>
    </r>
    <r>
      <rPr>
        <b/>
        <sz val="14"/>
        <color theme="1"/>
        <rFont val="Aptos"/>
        <family val="2"/>
      </rPr>
      <t>automóvel</t>
    </r>
    <r>
      <rPr>
        <sz val="14"/>
        <color theme="1"/>
        <rFont val="Aptos"/>
        <family val="2"/>
      </rPr>
      <t xml:space="preserve"> para o </t>
    </r>
    <r>
      <rPr>
        <b/>
        <sz val="14"/>
        <color theme="1"/>
        <rFont val="Aptos"/>
        <family val="2"/>
      </rPr>
      <t>modo pedonal</t>
    </r>
    <r>
      <rPr>
        <sz val="14"/>
        <color theme="1"/>
        <rFont val="Aptos"/>
        <family val="2"/>
      </rPr>
      <t xml:space="preserve"> </t>
    </r>
    <r>
      <rPr>
        <b/>
        <sz val="14"/>
        <color theme="1"/>
        <rFont val="Aptos"/>
        <family val="2"/>
      </rPr>
      <t>+ procura induzida</t>
    </r>
    <r>
      <rPr>
        <sz val="14"/>
        <color theme="1"/>
        <rFont val="Aptos"/>
        <family val="2"/>
      </rPr>
      <t>?</t>
    </r>
  </si>
  <si>
    <t>Qual a % tipologia automóvel a utilizar para os cálculos das emissões GEE?</t>
  </si>
  <si>
    <t>C. Quilómetros evitados</t>
  </si>
  <si>
    <t>Cálculos adicionais_utilizador</t>
  </si>
  <si>
    <t xml:space="preserve">A GEE_mobilidade disponibiliza uma calculadora (calculadora A) para estimar os fatores de emissão do transporte elétrico no separador "Cálculos adicionais_utilizador". </t>
  </si>
  <si>
    <t xml:space="preserve">Emissões Absolutas </t>
  </si>
  <si>
    <t xml:space="preserve">Emissões de Referência </t>
  </si>
  <si>
    <t xml:space="preserve">Emissões Absolutas           </t>
  </si>
  <si>
    <t xml:space="preserve">Emissões de Referência                 </t>
  </si>
  <si>
    <t xml:space="preserve">Emissões Relativas  </t>
  </si>
  <si>
    <t>Transporte</t>
  </si>
  <si>
    <t>TM5 parques de estacionamento</t>
  </si>
  <si>
    <t>Automóveis a combustão</t>
  </si>
  <si>
    <r>
      <t xml:space="preserve">Fator de emissão de GEE- </t>
    </r>
    <r>
      <rPr>
        <b/>
        <sz val="14"/>
        <color theme="1"/>
        <rFont val="Aptos"/>
        <family val="2"/>
      </rPr>
      <t>híbrido (motor desconhecido)</t>
    </r>
  </si>
  <si>
    <t>Consumo anual de electricidade num ano típico de operação</t>
  </si>
  <si>
    <t>Automóvel a combustão- gasóleo</t>
  </si>
  <si>
    <t xml:space="preserve"> Consumo de electricidade</t>
  </si>
  <si>
    <t>1. Cálculo das emissões de referência:</t>
  </si>
  <si>
    <t>Emissões absolutas - Parques Estacionamento</t>
  </si>
  <si>
    <t>Fator de emissão (Prod) (kg/p.km)</t>
  </si>
  <si>
    <t>total emissões referência (ton CO2/pkm)</t>
  </si>
  <si>
    <t>total emissões referência com ProdT (ton CO2/pkm)</t>
  </si>
  <si>
    <t>2.1 Opção I - Definição das percentagens das Transferências Modais (TM)</t>
  </si>
  <si>
    <t>outro tipo de veículo</t>
  </si>
  <si>
    <t>Utilizador</t>
  </si>
  <si>
    <t>Carro (nº de carros) - padráo</t>
  </si>
  <si>
    <r>
      <t xml:space="preserve">Qual a TM expectável do </t>
    </r>
    <r>
      <rPr>
        <b/>
        <sz val="14"/>
        <color theme="1"/>
        <rFont val="Aptos"/>
        <family val="2"/>
      </rPr>
      <t>automóvel</t>
    </r>
    <r>
      <rPr>
        <sz val="14"/>
        <color theme="1"/>
        <rFont val="Aptos"/>
        <family val="2"/>
      </rPr>
      <t xml:space="preserve"> para o </t>
    </r>
    <r>
      <rPr>
        <b/>
        <sz val="14"/>
        <color theme="1"/>
        <rFont val="Aptos"/>
        <family val="2"/>
      </rPr>
      <t>metro</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</si>
  <si>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o </t>
    </r>
    <r>
      <rPr>
        <b/>
        <sz val="14"/>
        <color theme="1"/>
        <rFont val="Aptos"/>
        <family val="2"/>
      </rPr>
      <t>metro</t>
    </r>
    <r>
      <rPr>
        <sz val="14"/>
        <color theme="1"/>
        <rFont val="Aptos"/>
        <family val="2"/>
      </rPr>
      <t>?</t>
    </r>
  </si>
  <si>
    <t>bicicleta não elétrica partilhada</t>
  </si>
  <si>
    <t>bicicleta elétrica partilhada</t>
  </si>
  <si>
    <t>trotineta elétrica partilhada</t>
  </si>
  <si>
    <r>
      <t xml:space="preserve"> </t>
    </r>
    <r>
      <rPr>
        <b/>
        <sz val="14"/>
        <color theme="1"/>
        <rFont val="Aptos"/>
        <family val="2"/>
      </rPr>
      <t>navio/embarcação</t>
    </r>
    <r>
      <rPr>
        <sz val="14"/>
        <color theme="1"/>
        <rFont val="Aptos"/>
        <family val="2"/>
      </rPr>
      <t xml:space="preserve"> </t>
    </r>
    <r>
      <rPr>
        <b/>
        <sz val="14"/>
        <color theme="1"/>
        <rFont val="Aptos"/>
        <family val="2"/>
      </rPr>
      <t>(transporte de passageiros)</t>
    </r>
  </si>
  <si>
    <t xml:space="preserve">B: Passageiros*km* %TM </t>
  </si>
  <si>
    <t>Padrão: (Utilizadores/tx ocupação)*% tipologia padrão * Nº total de km evitados</t>
  </si>
  <si>
    <r>
      <t xml:space="preserve">Utilizador: (Utilizadores/tx ocupação)*% tipologia * Nº total de km evitados/ </t>
    </r>
    <r>
      <rPr>
        <sz val="8"/>
        <color theme="1"/>
        <rFont val="Calibri"/>
        <family val="2"/>
        <scheme val="minor"/>
      </rPr>
      <t>consumo anual de electricidade</t>
    </r>
  </si>
  <si>
    <t>modo pedonal + procura induzida (0  emissões)</t>
  </si>
  <si>
    <t>navios/embarcações</t>
  </si>
  <si>
    <t>C= B* FE                                                 Emissões ProdT- ton CO2e/pkm</t>
  </si>
  <si>
    <t xml:space="preserve">EV_Emissões Evitadas                                      </t>
  </si>
  <si>
    <t>4. IC4_Projetos renovação ou aquisição de frota: navios/embarcações</t>
  </si>
  <si>
    <t xml:space="preserve">4.1 Dados do projeto </t>
  </si>
  <si>
    <t>4.2 Resultados</t>
  </si>
  <si>
    <t>Frota de Navios/ embarcações</t>
  </si>
  <si>
    <t>5. IC5_Projetos de carregamento de veículos elétricos/ navios/embarcações de transporte de passageiros</t>
  </si>
  <si>
    <t>Nº total de km percorridos por unidade (ex. 1 bicicleta), num ano típico de funcionamento</t>
  </si>
  <si>
    <t>Minibus - elétrico</t>
  </si>
  <si>
    <t>Minibus - combustão</t>
  </si>
  <si>
    <t>Autocarro Standard - elétrico</t>
  </si>
  <si>
    <t>Autocarros Articulados/ Bus Rapid Transit - elétrico</t>
  </si>
  <si>
    <t>Autocarro Standard - combustão</t>
  </si>
  <si>
    <t>Autocarros Articulados/ Bus Rapid Transit - combustão</t>
  </si>
  <si>
    <t>Nº total de km percorridos por unidade (ex. 1 comboio), num ano típico de funcionamento</t>
  </si>
  <si>
    <t>Nº total de km por navio/ embarcação num ano típico de funcionamento</t>
  </si>
  <si>
    <t>Nº total de km por um veículo/embarcação, num ano típico de funcionamento</t>
  </si>
  <si>
    <t>Fator de emissão de GEE  de eletricidade (kg CO2e/kWh) mais recente</t>
  </si>
  <si>
    <r>
      <t>Micromobilidade:</t>
    </r>
    <r>
      <rPr>
        <sz val="14"/>
        <color theme="1"/>
        <rFont val="Aptos"/>
        <family val="2"/>
      </rPr>
      <t xml:space="preserve"> "A micromobilidade refere-se, em regra, ao transporte individual, a distâncias curtas, com recurso à utilização de veículos de reduzida dimensão, ligeiros e movidos pelo esforço do utilizador ou por energia elétrica denominados, de um modo lato, veículos de mobilidade pessoal (VMP), nomeadamente bicicletas e trotinetas com ou sem motor elétrico e até quadriciclos ligeiros, os quais podem ser utilizados como veículos particulares ou inseridos em modelos de mobilidade partilhada (sharing)"</t>
    </r>
    <r>
      <rPr>
        <b/>
        <sz val="14"/>
        <color theme="1"/>
        <rFont val="Aptos"/>
        <family val="2"/>
      </rPr>
      <t>.</t>
    </r>
  </si>
  <si>
    <r>
      <t xml:space="preserve">Mobilidade urbana : </t>
    </r>
    <r>
      <rPr>
        <sz val="14"/>
        <color theme="1"/>
        <rFont val="Aptos"/>
        <family val="2"/>
      </rPr>
      <t>Viagens efectuadas por residentes de uma área urbana, em que  a origem e o destino se situam na mesma área urbana. A área urbana é constituída por uma cidade e pela zona onde ocorrem deslocações diárias entre o local de residência e o local de trabalho ou estudo (movimentos pendulares).</t>
    </r>
  </si>
  <si>
    <r>
      <t xml:space="preserve">Transferência Modal: </t>
    </r>
    <r>
      <rPr>
        <sz val="14"/>
        <color theme="1"/>
        <rFont val="Aptos"/>
        <family val="2"/>
      </rPr>
      <t>A transferência modal refere-se à transição de utilizadores/passageiros de um tipo de transporte para outro, geralmente de veículos, comboios ou navios/embarcações para alternativas com maior capacidade de transporte de passageiros, eficiência e/ou conveniência.</t>
    </r>
  </si>
  <si>
    <r>
      <rPr>
        <b/>
        <sz val="14"/>
        <color theme="1"/>
        <rFont val="Aptos"/>
        <family val="2"/>
      </rPr>
      <t>Fator de emissão:</t>
    </r>
    <r>
      <rPr>
        <sz val="14"/>
        <color theme="1"/>
        <rFont val="Aptos"/>
        <family val="2"/>
      </rPr>
      <t xml:space="preserve"> Um fator que permite estimar as emissões de GEE a partir de uma unidade de dados de atividade disponíveis (ex. consumo de eletricidade (kWh), nº de passageiros-quiómetro).</t>
    </r>
  </si>
  <si>
    <r>
      <rPr>
        <b/>
        <sz val="14"/>
        <color theme="1"/>
        <rFont val="Aptos"/>
        <family val="2"/>
      </rPr>
      <t>Limites do projeto:</t>
    </r>
    <r>
      <rPr>
        <sz val="14"/>
        <color theme="1"/>
        <rFont val="Aptos"/>
        <family val="2"/>
      </rPr>
      <t xml:space="preserve"> São as fronteiras que determinam as emissões diretas e indirectas associadas às operações da responsabilidade ou controladas pelo promotor do projeto. Esta avaliação permite a um promotor de projeto (investidor) determinar que operações e fontes causam emissões diretas e indirectas e decidir quais as emissões indirectas, consequência das operações do projeto, deverão ser incluídas no cálculo da pegada de carbono. </t>
    </r>
  </si>
  <si>
    <t>Correspondência entre as NUTS 2013 e as NUTS 2024 ao nível do município (ver documentos)</t>
  </si>
  <si>
    <r>
      <rPr>
        <b/>
        <sz val="14"/>
        <color theme="1"/>
        <rFont val="Aptos"/>
        <family val="2"/>
      </rPr>
      <t>Procura Induzida (Indução):</t>
    </r>
    <r>
      <rPr>
        <sz val="14"/>
        <color theme="1"/>
        <rFont val="Aptos"/>
        <family val="2"/>
      </rPr>
      <t xml:space="preserve"> A procura induzida corresponde à procura (i.e. novos utilizadores/ passageiros) que não existia no sistema de transportes antes da fase de operação (funcionamento) do projeto.</t>
    </r>
  </si>
  <si>
    <t>Equipa IST (2025)</t>
  </si>
  <si>
    <r>
      <t xml:space="preserve">Material circulante: </t>
    </r>
    <r>
      <rPr>
        <sz val="14"/>
        <color theme="1"/>
        <rFont val="Aptos"/>
        <family val="2"/>
      </rPr>
      <t>Designação utilizada, de um modo geral, para o conjunto de veículos ferroviários.</t>
    </r>
  </si>
  <si>
    <t>Infraestruturas de Portugal</t>
  </si>
  <si>
    <r>
      <t>Vias navegáveis interiores:</t>
    </r>
    <r>
      <rPr>
        <sz val="14"/>
        <color theme="1"/>
        <rFont val="Aptos"/>
        <family val="2"/>
      </rPr>
      <t xml:space="preserve"> Um trecho de água, que não faz parte do mar, e que por características naturais ou artificiais é adequado para navegação, principalmente por embarcações fluviais. Este termo abrange rios, lagos, canais e estuários navegáveis.</t>
    </r>
  </si>
  <si>
    <r>
      <rPr>
        <b/>
        <sz val="14"/>
        <color theme="1"/>
        <rFont val="Aptos"/>
        <family val="2"/>
      </rPr>
      <t>Frota:</t>
    </r>
    <r>
      <rPr>
        <sz val="14"/>
        <color theme="1"/>
        <rFont val="Aptos"/>
        <family val="2"/>
      </rPr>
      <t xml:space="preserve"> Refere-se ao conjunto de veículos, como autocarros, comboios, navios/embarcações, aeronaves ou automóveis, que pertencem a uma organização, empresa ou serviço. </t>
    </r>
  </si>
  <si>
    <r>
      <rPr>
        <b/>
        <sz val="14"/>
        <color theme="1"/>
        <rFont val="Aptos"/>
        <family val="2"/>
      </rPr>
      <t>Ano típico/cruzeiro de funcionamento:</t>
    </r>
    <r>
      <rPr>
        <sz val="14"/>
        <color theme="1"/>
        <rFont val="Aptos"/>
        <family val="2"/>
      </rPr>
      <t xml:space="preserve"> No cálculo das emissões absolutas ou relativas de um projeto, é utilizado um ano típico de funcionamento (ano médio) em que o projeto funciona à sua capacidade normal. Na GEE-mobilidade o ano típico de funcionamento é o ano "n+2" em que "n" é o ano de início de operação do projeto.</t>
    </r>
  </si>
  <si>
    <r>
      <rPr>
        <b/>
        <sz val="14"/>
        <color theme="1"/>
        <rFont val="Aptos"/>
        <family val="2"/>
      </rPr>
      <t>Emissões de GEE absolutas (A</t>
    </r>
    <r>
      <rPr>
        <b/>
        <vertAlign val="subscript"/>
        <sz val="14"/>
        <color theme="1"/>
        <rFont val="Aptos"/>
        <family val="2"/>
      </rPr>
      <t>b</t>
    </r>
    <r>
      <rPr>
        <b/>
        <sz val="14"/>
        <color theme="1"/>
        <rFont val="Aptos"/>
        <family val="2"/>
      </rPr>
      <t>):</t>
    </r>
    <r>
      <rPr>
        <sz val="14"/>
        <color theme="1"/>
        <rFont val="Aptos"/>
        <family val="2"/>
      </rPr>
      <t xml:space="preserve"> Emissões anuais geradas pelo projeto estimadas para um ano médio de funcionamento (i.e. ano típico de funcionamento que na GEE_mobilidade é o ano "n+2" em que "n" é o ano de início de operação do projeto).</t>
    </r>
  </si>
  <si>
    <r>
      <rPr>
        <b/>
        <sz val="14"/>
        <color theme="1"/>
        <rFont val="Aptos"/>
        <family val="2"/>
      </rPr>
      <t xml:space="preserve">Intensidade Carbónica: </t>
    </r>
    <r>
      <rPr>
        <sz val="14"/>
        <color theme="1"/>
        <rFont val="Aptos"/>
        <family val="2"/>
      </rPr>
      <t xml:space="preserve">A intensidade carbónica refere-se ao rácio entre as emissões de GEE totais e uma determinada unidade. No setor dos transportes esta unidade é, geralmente, o passageiro-quilómetro. </t>
    </r>
  </si>
  <si>
    <t>Tipo de Transporte</t>
  </si>
  <si>
    <t xml:space="preserve">Greener Micromobility - ITF </t>
  </si>
  <si>
    <t>Estimativa da equipa IST baseada em informação sobre a frota eléctrica da TTSL</t>
  </si>
  <si>
    <t>Pressuposto Equipa IST: INE (2023)- taxa de utilização do eléctrico = taxa de utilização de transportes rodoviários da Carris (20%)</t>
  </si>
  <si>
    <t>Ano de referência dos Fatores de Emissão</t>
  </si>
  <si>
    <t xml:space="preserve"> Fonte</t>
  </si>
  <si>
    <t>Fator de emissão da produção do transporte- ProdT (kgCO2e/unidade)</t>
  </si>
  <si>
    <t>CO2e</t>
  </si>
  <si>
    <t>Pressuposto equipa IST- 1 passageiro</t>
  </si>
  <si>
    <t>Estimativa Equipa IST baseado no FE "Light rail and tram" em DEFRA 2025.</t>
  </si>
  <si>
    <t>The International EPD System</t>
  </si>
  <si>
    <r>
      <t xml:space="preserve">Fonte: Ferreira, F. </t>
    </r>
    <r>
      <rPr>
        <i/>
        <sz val="12"/>
        <rFont val="Aptos"/>
        <family val="2"/>
      </rPr>
      <t>et al.</t>
    </r>
    <r>
      <rPr>
        <sz val="12"/>
        <rFont val="Aptos"/>
        <family val="2"/>
      </rPr>
      <t xml:space="preserve">  (2025). Mobilidade e Transportes nas Áreas Metropolitanas em Portugal - RELATÓRIO FINAL. Pag. 100</t>
    </r>
  </si>
  <si>
    <t xml:space="preserve">FE de DEFRA, 2025. </t>
  </si>
  <si>
    <t xml:space="preserve">Estimativa Equipa IST baseado no FE "Hybrid" em DEFRA 2025. </t>
  </si>
  <si>
    <t>INE (2017). Inquérito à Mobilidade nas Áreas Metropolitanas do Porto e de Lisboa.</t>
  </si>
  <si>
    <t>Motorciclo (motos, motas) - Categoria L</t>
  </si>
  <si>
    <t>Conceito</t>
  </si>
  <si>
    <r>
      <t>1 pés cúbicos (ft</t>
    </r>
    <r>
      <rPr>
        <vertAlign val="superscript"/>
        <sz val="12"/>
        <rFont val="Aptos"/>
        <family val="2"/>
      </rPr>
      <t>3</t>
    </r>
    <r>
      <rPr>
        <sz val="12"/>
        <rFont val="Aptos"/>
        <family val="2"/>
      </rPr>
      <t>)</t>
    </r>
  </si>
  <si>
    <r>
      <t>0,02832 metro cúbico (m</t>
    </r>
    <r>
      <rPr>
        <vertAlign val="superscript"/>
        <sz val="12"/>
        <rFont val="Aptos"/>
        <family val="2"/>
      </rPr>
      <t>3</t>
    </r>
    <r>
      <rPr>
        <sz val="12"/>
        <rFont val="Aptos"/>
        <family val="2"/>
      </rPr>
      <t>)</t>
    </r>
  </si>
  <si>
    <r>
      <t>0,003785 metro cúbico (m</t>
    </r>
    <r>
      <rPr>
        <vertAlign val="superscript"/>
        <sz val="12"/>
        <rFont val="Aptos"/>
        <family val="2"/>
      </rPr>
      <t>3</t>
    </r>
    <r>
      <rPr>
        <sz val="12"/>
        <rFont val="Aptos"/>
        <family val="2"/>
      </rPr>
      <t>)</t>
    </r>
  </si>
  <si>
    <r>
      <t>0,1589873 metro cúbico (m</t>
    </r>
    <r>
      <rPr>
        <vertAlign val="superscript"/>
        <sz val="12"/>
        <rFont val="Aptos"/>
        <family val="2"/>
      </rPr>
      <t>3</t>
    </r>
    <r>
      <rPr>
        <sz val="12"/>
        <rFont val="Aptos"/>
        <family val="2"/>
      </rPr>
      <t>)</t>
    </r>
  </si>
  <si>
    <r>
      <t>0,001 metro cúbico (m</t>
    </r>
    <r>
      <rPr>
        <vertAlign val="superscript"/>
        <sz val="12"/>
        <rFont val="Aptos"/>
        <family val="2"/>
      </rPr>
      <t>3</t>
    </r>
    <r>
      <rPr>
        <sz val="12"/>
        <rFont val="Aptos"/>
        <family val="2"/>
      </rPr>
      <t>)</t>
    </r>
  </si>
  <si>
    <r>
      <t>1 metro cúbico (m</t>
    </r>
    <r>
      <rPr>
        <vertAlign val="superscript"/>
        <sz val="12"/>
        <rFont val="Aptos"/>
        <family val="2"/>
      </rPr>
      <t>3</t>
    </r>
    <r>
      <rPr>
        <sz val="12"/>
        <rFont val="Aptos"/>
        <family val="2"/>
      </rPr>
      <t>)</t>
    </r>
  </si>
  <si>
    <r>
      <t>10</t>
    </r>
    <r>
      <rPr>
        <vertAlign val="superscript"/>
        <sz val="12"/>
        <rFont val="Aptos"/>
        <family val="2"/>
      </rPr>
      <t>3</t>
    </r>
    <r>
      <rPr>
        <sz val="12"/>
        <rFont val="Aptos"/>
        <family val="2"/>
      </rPr>
      <t xml:space="preserve"> = 1000</t>
    </r>
  </si>
  <si>
    <r>
      <t>10</t>
    </r>
    <r>
      <rPr>
        <vertAlign val="superscript"/>
        <sz val="12"/>
        <rFont val="Aptos"/>
        <family val="2"/>
      </rPr>
      <t>6</t>
    </r>
    <r>
      <rPr>
        <sz val="12"/>
        <rFont val="Aptos"/>
        <family val="2"/>
      </rPr>
      <t xml:space="preserve"> = 1 000 000</t>
    </r>
  </si>
  <si>
    <r>
      <t>10</t>
    </r>
    <r>
      <rPr>
        <vertAlign val="superscript"/>
        <sz val="12"/>
        <rFont val="Aptos"/>
        <family val="2"/>
      </rPr>
      <t>9</t>
    </r>
    <r>
      <rPr>
        <sz val="12"/>
        <rFont val="Aptos"/>
        <family val="2"/>
      </rPr>
      <t xml:space="preserve"> = 1 000 000 000</t>
    </r>
  </si>
  <si>
    <r>
      <t>10</t>
    </r>
    <r>
      <rPr>
        <vertAlign val="superscript"/>
        <sz val="12"/>
        <rFont val="Aptos"/>
        <family val="2"/>
      </rPr>
      <t>12</t>
    </r>
    <r>
      <rPr>
        <sz val="12"/>
        <rFont val="Aptos"/>
        <family val="2"/>
      </rPr>
      <t xml:space="preserve"> = 1 000 000 000 000</t>
    </r>
  </si>
  <si>
    <r>
      <t>Peso molecular de CO</t>
    </r>
    <r>
      <rPr>
        <vertAlign val="subscript"/>
        <sz val="12"/>
        <rFont val="Aptos"/>
        <family val="2"/>
      </rPr>
      <t>2</t>
    </r>
  </si>
  <si>
    <t>Os resultados relativos ao projeto em análise pode ser visualizado em "Resultados" (tabelas a verde) ou juntamente com as outras componentes do projeto em:</t>
  </si>
  <si>
    <t>Ano típico de funcionamento (ano médio)</t>
  </si>
  <si>
    <t>Emissões relativas</t>
  </si>
  <si>
    <t>Emissões de referência</t>
  </si>
  <si>
    <t>Emissões absolutas</t>
  </si>
  <si>
    <t>Emissões Absolutas              
Emissões de Referência                                                                                                                                                                                                                                                        Emissões Relativas                                                                                                                                                                                                                                                                   Custo-sombra das emissões relativas</t>
  </si>
  <si>
    <r>
      <t>Emissões Relativas</t>
    </r>
    <r>
      <rPr>
        <sz val="16"/>
        <color theme="1"/>
        <rFont val="Aptos"/>
        <family val="2"/>
      </rPr>
      <t xml:space="preserve"> (%)</t>
    </r>
  </si>
  <si>
    <r>
      <t>B</t>
    </r>
    <r>
      <rPr>
        <b/>
        <vertAlign val="subscript"/>
        <sz val="16"/>
        <color theme="1"/>
        <rFont val="Aptos"/>
        <family val="2"/>
      </rPr>
      <t>e</t>
    </r>
    <r>
      <rPr>
        <b/>
        <sz val="16"/>
        <color theme="1"/>
        <rFont val="Aptos"/>
        <family val="2"/>
      </rPr>
      <t xml:space="preserve">_emissões de referência                   </t>
    </r>
  </si>
  <si>
    <t>IC_todos os projeto</t>
  </si>
  <si>
    <t>Horizonte temporal do projeto (anos):</t>
  </si>
  <si>
    <t>IC5_Projetos de carregamento de veículos elétricos/ navios/embarcações de transporte de passageiros</t>
  </si>
  <si>
    <t>Total de Emissões de GEE</t>
  </si>
  <si>
    <t>Quadro D_Horizonte do Projeto (anos):</t>
  </si>
  <si>
    <t>Quadro C_ Ano típico de operação do projeto (n+2)</t>
  </si>
  <si>
    <t>tCO2e</t>
  </si>
  <si>
    <t>kg CO2e/v.km</t>
  </si>
  <si>
    <r>
      <t>A</t>
    </r>
    <r>
      <rPr>
        <b/>
        <vertAlign val="subscript"/>
        <sz val="16"/>
        <color theme="1"/>
        <rFont val="Aptos"/>
        <family val="2"/>
      </rPr>
      <t>b</t>
    </r>
    <r>
      <rPr>
        <b/>
        <sz val="16"/>
        <color theme="1"/>
        <rFont val="Aptos"/>
        <family val="2"/>
      </rPr>
      <t xml:space="preserve">_Emissões absolutas                     </t>
    </r>
  </si>
  <si>
    <r>
      <t>Emissões relativas                                                R</t>
    </r>
    <r>
      <rPr>
        <b/>
        <vertAlign val="subscript"/>
        <sz val="16"/>
        <color theme="1"/>
        <rFont val="Aptos"/>
        <family val="2"/>
      </rPr>
      <t>e</t>
    </r>
    <r>
      <rPr>
        <b/>
        <sz val="16"/>
        <color theme="1"/>
        <rFont val="Aptos"/>
        <family val="2"/>
      </rPr>
      <t>= (A</t>
    </r>
    <r>
      <rPr>
        <b/>
        <vertAlign val="subscript"/>
        <sz val="16"/>
        <color theme="1"/>
        <rFont val="Aptos"/>
        <family val="2"/>
      </rPr>
      <t xml:space="preserve">b </t>
    </r>
    <r>
      <rPr>
        <b/>
        <sz val="16"/>
        <color theme="1"/>
        <rFont val="Aptos"/>
        <family val="2"/>
      </rPr>
      <t>- B</t>
    </r>
    <r>
      <rPr>
        <b/>
        <vertAlign val="subscript"/>
        <sz val="16"/>
        <color theme="1"/>
        <rFont val="Aptos"/>
        <family val="2"/>
      </rPr>
      <t>e</t>
    </r>
    <r>
      <rPr>
        <b/>
        <sz val="16"/>
        <color theme="1"/>
        <rFont val="Aptos"/>
        <family val="2"/>
      </rPr>
      <t xml:space="preserve">)  </t>
    </r>
  </si>
  <si>
    <r>
      <t>A</t>
    </r>
    <r>
      <rPr>
        <b/>
        <vertAlign val="subscript"/>
        <sz val="16"/>
        <color theme="1"/>
        <rFont val="Aptos"/>
        <family val="2"/>
      </rPr>
      <t>b</t>
    </r>
    <r>
      <rPr>
        <b/>
        <sz val="16"/>
        <color theme="1"/>
        <rFont val="Aptos"/>
        <family val="2"/>
      </rPr>
      <t xml:space="preserve">_Emissões absolutas                         </t>
    </r>
    <r>
      <rPr>
        <sz val="16"/>
        <color theme="1"/>
        <rFont val="Aptos"/>
        <family val="2"/>
      </rPr>
      <t>(tCOe)</t>
    </r>
  </si>
  <si>
    <r>
      <t>B</t>
    </r>
    <r>
      <rPr>
        <b/>
        <vertAlign val="subscript"/>
        <sz val="16"/>
        <color theme="1"/>
        <rFont val="Aptos"/>
        <family val="2"/>
      </rPr>
      <t>e</t>
    </r>
    <r>
      <rPr>
        <b/>
        <sz val="16"/>
        <color theme="1"/>
        <rFont val="Aptos"/>
        <family val="2"/>
      </rPr>
      <t xml:space="preserve">_emissões de referência                   </t>
    </r>
    <r>
      <rPr>
        <sz val="16"/>
        <color theme="1"/>
        <rFont val="Aptos"/>
        <family val="2"/>
      </rPr>
      <t xml:space="preserve">(tCOe) </t>
    </r>
  </si>
  <si>
    <r>
      <t>A</t>
    </r>
    <r>
      <rPr>
        <b/>
        <vertAlign val="subscript"/>
        <sz val="16"/>
        <color theme="1"/>
        <rFont val="Aptos"/>
        <family val="2"/>
      </rPr>
      <t>b</t>
    </r>
    <r>
      <rPr>
        <b/>
        <sz val="16"/>
        <color theme="1"/>
        <rFont val="Aptos"/>
        <family val="2"/>
      </rPr>
      <t xml:space="preserve">_Emissões absolutas                         </t>
    </r>
    <r>
      <rPr>
        <sz val="16"/>
        <color theme="1"/>
        <rFont val="Aptos"/>
        <family val="2"/>
      </rPr>
      <t>(tCO2e)</t>
    </r>
  </si>
  <si>
    <r>
      <t>B</t>
    </r>
    <r>
      <rPr>
        <b/>
        <vertAlign val="subscript"/>
        <sz val="16"/>
        <color theme="1"/>
        <rFont val="Aptos"/>
        <family val="2"/>
      </rPr>
      <t>e</t>
    </r>
    <r>
      <rPr>
        <b/>
        <sz val="16"/>
        <color theme="1"/>
        <rFont val="Aptos"/>
        <family val="2"/>
      </rPr>
      <t xml:space="preserve">_emissões de referência                   </t>
    </r>
    <r>
      <rPr>
        <sz val="16"/>
        <color theme="1"/>
        <rFont val="Aptos"/>
        <family val="2"/>
      </rPr>
      <t xml:space="preserve">(tCO2e) </t>
    </r>
  </si>
  <si>
    <r>
      <t>Emissões relativas                                             R</t>
    </r>
    <r>
      <rPr>
        <b/>
        <vertAlign val="subscript"/>
        <sz val="16"/>
        <color theme="1"/>
        <rFont val="Aptos"/>
        <family val="2"/>
      </rPr>
      <t>e</t>
    </r>
    <r>
      <rPr>
        <b/>
        <sz val="16"/>
        <color theme="1"/>
        <rFont val="Aptos"/>
        <family val="2"/>
      </rPr>
      <t>= (A</t>
    </r>
    <r>
      <rPr>
        <b/>
        <vertAlign val="subscript"/>
        <sz val="16"/>
        <color theme="1"/>
        <rFont val="Aptos"/>
        <family val="2"/>
      </rPr>
      <t xml:space="preserve">b </t>
    </r>
    <r>
      <rPr>
        <b/>
        <sz val="16"/>
        <color theme="1"/>
        <rFont val="Aptos"/>
        <family val="2"/>
      </rPr>
      <t>- B</t>
    </r>
    <r>
      <rPr>
        <b/>
        <vertAlign val="subscript"/>
        <sz val="16"/>
        <color theme="1"/>
        <rFont val="Aptos"/>
        <family val="2"/>
      </rPr>
      <t>e</t>
    </r>
    <r>
      <rPr>
        <b/>
        <sz val="16"/>
        <color theme="1"/>
        <rFont val="Aptos"/>
        <family val="2"/>
      </rPr>
      <t xml:space="preserve">)  </t>
    </r>
    <r>
      <rPr>
        <sz val="16"/>
        <color theme="1"/>
        <rFont val="Aptos"/>
        <family val="2"/>
      </rPr>
      <t xml:space="preserve">(tCO2e) </t>
    </r>
  </si>
  <si>
    <t>Quadro A: Resultados Globais (Pressuposto da Redução da Intensidade Carbónica + Pressuposto da Transferência Modal)</t>
  </si>
  <si>
    <t>Quadro B:  Pressuposto da Redução da Intensidade Carbónica</t>
  </si>
  <si>
    <r>
      <t>Emissões relativas                                        R</t>
    </r>
    <r>
      <rPr>
        <b/>
        <vertAlign val="subscript"/>
        <sz val="16"/>
        <color theme="1"/>
        <rFont val="Aptos"/>
        <family val="2"/>
      </rPr>
      <t>e</t>
    </r>
    <r>
      <rPr>
        <b/>
        <sz val="16"/>
        <color theme="1"/>
        <rFont val="Aptos"/>
        <family val="2"/>
      </rPr>
      <t>= (A</t>
    </r>
    <r>
      <rPr>
        <b/>
        <vertAlign val="subscript"/>
        <sz val="16"/>
        <color theme="1"/>
        <rFont val="Aptos"/>
        <family val="2"/>
      </rPr>
      <t xml:space="preserve">b </t>
    </r>
    <r>
      <rPr>
        <b/>
        <sz val="16"/>
        <color theme="1"/>
        <rFont val="Aptos"/>
        <family val="2"/>
      </rPr>
      <t>- B</t>
    </r>
    <r>
      <rPr>
        <b/>
        <vertAlign val="subscript"/>
        <sz val="16"/>
        <color theme="1"/>
        <rFont val="Aptos"/>
        <family val="2"/>
      </rPr>
      <t>e</t>
    </r>
    <r>
      <rPr>
        <b/>
        <sz val="16"/>
        <color theme="1"/>
        <rFont val="Aptos"/>
        <family val="2"/>
      </rPr>
      <t xml:space="preserve">)    </t>
    </r>
    <r>
      <rPr>
        <sz val="16"/>
        <color theme="1"/>
        <rFont val="Aptos"/>
        <family val="2"/>
      </rPr>
      <t xml:space="preserve">(tCOe) </t>
    </r>
  </si>
  <si>
    <t>Total de Emissões</t>
  </si>
  <si>
    <r>
      <rPr>
        <b/>
        <sz val="18"/>
        <rFont val="Aptos"/>
        <family val="2"/>
      </rPr>
      <t xml:space="preserve">Nota: </t>
    </r>
    <r>
      <rPr>
        <sz val="18"/>
        <rFont val="Aptos"/>
        <family val="2"/>
      </rPr>
      <t xml:space="preserve">Os resultados são apresentados sem as emissões de GEE da produção do transporte (sem ProdT) e com as emissões de GEE da produção do transporte (com ProdT). </t>
    </r>
  </si>
  <si>
    <t>1. Selecionar a opção disponibilizada no campo "Fator de Emissão a utilizar" relativa ao fator de emissão de GEE a utilizar para calcular as emissões de GEE:</t>
  </si>
  <si>
    <r>
      <t xml:space="preserve">A GEE_mobilidade disponibiliza uma calculadora (calculadora A) para estimar os fatores de emissão do transporte elétrico no separador "Cálculos adicionais_utilizador" (aceder através do </t>
    </r>
    <r>
      <rPr>
        <b/>
        <sz val="11"/>
        <color theme="1"/>
        <rFont val="Calibri"/>
        <family val="2"/>
        <scheme val="minor"/>
      </rPr>
      <t>"Índice"</t>
    </r>
    <r>
      <rPr>
        <sz val="11"/>
        <color theme="1"/>
        <rFont val="Calibri"/>
        <family val="2"/>
        <scheme val="minor"/>
      </rPr>
      <t xml:space="preserve"> da GEE_mobilidade). Os dados necessários para este cálculo são os seguintes:  Fator de emissão da eletricidade (kgCO2e/ kWh); Consumo de eletricidade (kWh/km) especifico do transporte e o número médio de passageiros por autocarro. Os fatores de emissão resultantes (campos a verde)  devem ser introduzidos na coluna "Valor" a azul do respectivo tipo de transporte.</t>
    </r>
  </si>
  <si>
    <r>
      <rPr>
        <b/>
        <sz val="14"/>
        <rFont val="Aptos"/>
        <family val="2"/>
      </rPr>
      <t xml:space="preserve">Nº total de  bicicletas/moticiclos/trotinetas </t>
    </r>
    <r>
      <rPr>
        <sz val="14"/>
        <rFont val="Aptos"/>
        <family val="2"/>
      </rPr>
      <t xml:space="preserve">previstas no projeto, num ano típico de funcionamento:                                      (A) </t>
    </r>
    <r>
      <rPr>
        <u/>
        <sz val="14"/>
        <rFont val="Aptos"/>
        <family val="2"/>
      </rPr>
      <t>Projetos de redes e vias</t>
    </r>
    <r>
      <rPr>
        <sz val="14"/>
        <rFont val="Aptos"/>
        <family val="2"/>
      </rPr>
      <t xml:space="preserve"> - Nº médio de novas bicicletas/motociclos/trotinetas em circulação na rede/via a construir/ ampliar/melhorar, num ano típico de funcionamento. Ex. 20 novas bicicletas elétricas (em circulação, em média, por dia na ciclovia a ampliar)* 365 = 7 300 bicicletas elétricas em circulação, num ano típico de funcionamento. </t>
    </r>
    <r>
      <rPr>
        <b/>
        <sz val="14"/>
        <color rgb="FF02A39C"/>
        <rFont val="Aptos"/>
        <family val="2"/>
      </rPr>
      <t>VALOR</t>
    </r>
    <r>
      <rPr>
        <sz val="14"/>
        <rFont val="Aptos"/>
        <family val="2"/>
      </rPr>
      <t xml:space="preserve">= 7 300                                                                                                                                                                                                                           (B) </t>
    </r>
    <r>
      <rPr>
        <u/>
        <sz val="14"/>
        <rFont val="Aptos"/>
        <family val="2"/>
      </rPr>
      <t>Projetos de aquisição de transporte</t>
    </r>
    <r>
      <rPr>
        <sz val="14"/>
        <rFont val="Aptos"/>
        <family val="2"/>
      </rPr>
      <t xml:space="preserve"> - Nº total de bicicletas a adquirir pelo projeto. Ex. Projeto prevê a aquisição de 30 bicicletas. </t>
    </r>
    <r>
      <rPr>
        <b/>
        <sz val="14"/>
        <color rgb="FF02A39C"/>
        <rFont val="Aptos"/>
        <family val="2"/>
      </rPr>
      <t>VALOR</t>
    </r>
    <r>
      <rPr>
        <sz val="14"/>
        <rFont val="Aptos"/>
        <family val="2"/>
      </rPr>
      <t>= 30</t>
    </r>
  </si>
  <si>
    <t xml:space="preserve">Assume-se que todos os utilizadores que utilizaram o transporte de micromobilidade do projeto foram provenientes de outros tipos de transporte (ex. automóvel, autocarro, metro, comboio urbano); também se considera o modo pedonal e a procura induzida. Neste sentido, os valores introduzidos para as transferências modais (TM) devem somar 100%.  </t>
  </si>
  <si>
    <r>
      <rPr>
        <b/>
        <sz val="14"/>
        <rFont val="Aptos"/>
        <family val="2"/>
      </rPr>
      <t>Nº total de km por bicicleta/moticiclo/trotineta</t>
    </r>
    <r>
      <rPr>
        <sz val="14"/>
        <rFont val="Aptos"/>
        <family val="2"/>
      </rPr>
      <t xml:space="preserve">, num ano típico de funcionamento:                                                                            (A) </t>
    </r>
    <r>
      <rPr>
        <u/>
        <sz val="14"/>
        <rFont val="Aptos"/>
        <family val="2"/>
      </rPr>
      <t>Projetos de redes e vias</t>
    </r>
    <r>
      <rPr>
        <sz val="14"/>
        <rFont val="Aptos"/>
        <family val="2"/>
      </rPr>
      <t xml:space="preserve"> - Nº de km de rede/ via a construir/ ampliar/ melhorar pelo projeto/ano. Ex. o projeto prevê a construção de 20 km de ciclovia. </t>
    </r>
    <r>
      <rPr>
        <b/>
        <sz val="14"/>
        <color rgb="FF02A39C"/>
        <rFont val="Aptos"/>
        <family val="2"/>
      </rPr>
      <t>VALOR</t>
    </r>
    <r>
      <rPr>
        <sz val="14"/>
        <rFont val="Aptos"/>
        <family val="2"/>
      </rPr>
      <t xml:space="preserve">= 20                                                                                                                                                                         (B) </t>
    </r>
    <r>
      <rPr>
        <u/>
        <sz val="14"/>
        <rFont val="Aptos"/>
        <family val="2"/>
      </rPr>
      <t xml:space="preserve">Projetos de aquisição de transporte </t>
    </r>
    <r>
      <rPr>
        <sz val="14"/>
        <rFont val="Aptos"/>
        <family val="2"/>
      </rPr>
      <t xml:space="preserve">- Nº de km percorridos por uma bicicleta elétrica partilhada adquirida (valor médio)/ano. Ex. 90 km (km por bicicleta, em média, por dia)* 6 meses (tempo médio de vida da bicicleta) * 30 (dias num mês) = 16 200 km por bicicleta. </t>
    </r>
    <r>
      <rPr>
        <b/>
        <sz val="14"/>
        <color rgb="FF02A39C"/>
        <rFont val="Aptos"/>
        <family val="2"/>
      </rPr>
      <t>VALOR</t>
    </r>
    <r>
      <rPr>
        <sz val="14"/>
        <rFont val="Aptos"/>
        <family val="2"/>
      </rPr>
      <t xml:space="preserve">= 16 200 </t>
    </r>
  </si>
  <si>
    <t>Consumo anual de electricidade, num ano típico de funcionamento</t>
  </si>
  <si>
    <t xml:space="preserve">Passo I- Transferências Modais </t>
  </si>
  <si>
    <r>
      <rPr>
        <b/>
        <sz val="14"/>
        <rFont val="Aptos"/>
        <family val="2"/>
      </rPr>
      <t>II- % de captação (TM) em Lisboa (padrão)</t>
    </r>
    <r>
      <rPr>
        <sz val="14"/>
        <rFont val="Aptos"/>
        <family val="2"/>
      </rPr>
      <t xml:space="preserve">                                                                                                                                                              Caso a </t>
    </r>
    <r>
      <rPr>
        <b/>
        <sz val="14"/>
        <rFont val="Aptos"/>
        <family val="2"/>
      </rPr>
      <t xml:space="preserve">"Opção I" </t>
    </r>
    <r>
      <rPr>
        <sz val="14"/>
        <rFont val="Aptos"/>
        <family val="2"/>
      </rPr>
      <t xml:space="preserve">tenha sido selecionada, preencher as tabelas de </t>
    </r>
    <r>
      <rPr>
        <b/>
        <sz val="14"/>
        <rFont val="Aptos"/>
        <family val="2"/>
      </rPr>
      <t xml:space="preserve">2.2 Opção I - Definição das percentagens das Transferências Modais (TM).                                                                                    </t>
    </r>
    <r>
      <rPr>
        <sz val="14"/>
        <rFont val="Aptos"/>
        <family val="2"/>
      </rPr>
      <t xml:space="preserve">                                                                                                  Caso a </t>
    </r>
    <r>
      <rPr>
        <b/>
        <sz val="14"/>
        <rFont val="Aptos"/>
        <family val="2"/>
      </rPr>
      <t>"Opção II"</t>
    </r>
    <r>
      <rPr>
        <sz val="14"/>
        <rFont val="Aptos"/>
        <family val="2"/>
      </rPr>
      <t xml:space="preserve"> tenha sido selecionada, seguir para o ponto </t>
    </r>
    <r>
      <rPr>
        <b/>
        <sz val="14"/>
        <rFont val="Aptos"/>
        <family val="2"/>
      </rPr>
      <t>3. Resultados</t>
    </r>
    <r>
      <rPr>
        <sz val="14"/>
        <rFont val="Aptos"/>
        <family val="2"/>
      </rPr>
      <t xml:space="preserve">.      
</t>
    </r>
  </si>
  <si>
    <r>
      <rPr>
        <b/>
        <sz val="14"/>
        <rFont val="Aptos"/>
        <family val="2"/>
      </rPr>
      <t>Nota 1</t>
    </r>
    <r>
      <rPr>
        <sz val="14"/>
        <rFont val="Aptos"/>
        <family val="2"/>
      </rPr>
      <t xml:space="preserve">: Caso a </t>
    </r>
    <r>
      <rPr>
        <b/>
        <sz val="14"/>
        <rFont val="Aptos"/>
        <family val="2"/>
      </rPr>
      <t xml:space="preserve">opção I- Fator de emissão de GEE do utilizador </t>
    </r>
    <r>
      <rPr>
        <sz val="14"/>
        <rFont val="Aptos"/>
        <family val="2"/>
      </rPr>
      <t xml:space="preserve">tenha sido selecionada, os campos "Valor" e "Fonte e ano de referência do fator de emissão de GEE" a </t>
    </r>
    <r>
      <rPr>
        <b/>
        <sz val="14"/>
        <color rgb="FF02A39C"/>
        <rFont val="Aptos"/>
        <family val="2"/>
      </rPr>
      <t>AZUL</t>
    </r>
    <r>
      <rPr>
        <sz val="14"/>
        <rFont val="Aptos"/>
        <family val="2"/>
      </rPr>
      <t xml:space="preserve"> </t>
    </r>
    <r>
      <rPr>
        <b/>
        <sz val="14"/>
        <rFont val="Aptos"/>
        <family val="2"/>
      </rPr>
      <t>devem ser preenchidos, quando aplicável</t>
    </r>
    <r>
      <rPr>
        <sz val="14"/>
        <rFont val="Aptos"/>
        <family val="2"/>
      </rPr>
      <t>.</t>
    </r>
  </si>
  <si>
    <r>
      <rPr>
        <b/>
        <sz val="14"/>
        <rFont val="Aptos"/>
        <family val="2"/>
      </rPr>
      <t>Nota 1</t>
    </r>
    <r>
      <rPr>
        <sz val="14"/>
        <rFont val="Aptos"/>
        <family val="2"/>
      </rPr>
      <t xml:space="preserve">: Caso a </t>
    </r>
    <r>
      <rPr>
        <b/>
        <sz val="14"/>
        <rFont val="Aptos"/>
        <family val="2"/>
      </rPr>
      <t>opção I- Fator de emissão de GEE  do utilizador</t>
    </r>
    <r>
      <rPr>
        <sz val="14"/>
        <rFont val="Aptos"/>
        <family val="2"/>
      </rPr>
      <t xml:space="preserve"> tenha sido selecionada, os campos "Valor" e "Fonte e ano de referência do fator de emissão de GEE" a </t>
    </r>
    <r>
      <rPr>
        <b/>
        <sz val="14"/>
        <color rgb="FF02A39C"/>
        <rFont val="Aptos"/>
        <family val="2"/>
      </rPr>
      <t>AZUL</t>
    </r>
    <r>
      <rPr>
        <sz val="14"/>
        <rFont val="Aptos"/>
        <family val="2"/>
      </rPr>
      <t xml:space="preserve"> </t>
    </r>
    <r>
      <rPr>
        <b/>
        <sz val="14"/>
        <rFont val="Aptos"/>
        <family val="2"/>
      </rPr>
      <t>devem ser preenchidos, quando aplicável</t>
    </r>
    <r>
      <rPr>
        <sz val="14"/>
        <rFont val="Aptos"/>
        <family val="2"/>
      </rPr>
      <t>.</t>
    </r>
  </si>
  <si>
    <r>
      <rPr>
        <b/>
        <sz val="14"/>
        <rFont val="Aptos"/>
        <family val="2"/>
      </rPr>
      <t>Nota 3:</t>
    </r>
    <r>
      <rPr>
        <sz val="14"/>
        <rFont val="Aptos"/>
        <family val="2"/>
      </rPr>
      <t xml:space="preserve"> Os fatores de emissão padrão foram estimados considerando as taxas de ocupação do transporte rodoviário de passageiros urbano + suburbano + interurbano para Portugal (INE, 2023). Para utilizar os fatores de emissão estimados com as taxas de ocupação da Carris (Lisboa) e da STCP (Porto) consultar o separador:</t>
    </r>
  </si>
  <si>
    <r>
      <t xml:space="preserve">A GEE_mobilidade disponibiliza uma calculadora (calculadora A) para estimar os fatores de emissão do transporte elétrico no separador "Cálculos adicionais_utilizador" (aceder através do </t>
    </r>
    <r>
      <rPr>
        <b/>
        <sz val="11"/>
        <color theme="1"/>
        <rFont val="Calibri"/>
        <family val="2"/>
        <scheme val="minor"/>
      </rPr>
      <t>"Índice"</t>
    </r>
    <r>
      <rPr>
        <sz val="11"/>
        <color theme="1"/>
        <rFont val="Calibri"/>
        <family val="2"/>
        <scheme val="minor"/>
      </rPr>
      <t xml:space="preserve"> da GEE_mobilidade). Os dados necessários para este cálculo são os seguintes:  Fator de emissão da eletricidade (kgCO2e/ kWh); Consumo de electricidade (kWh/km) especifico do transporte e o número médio de passageiros por autocarro. Os fatores de emissão resultantes (campos a verde)  devem ser introduzidos na coluna "Valor" a azul do respectivo tipo de transporte.</t>
    </r>
  </si>
  <si>
    <r>
      <rPr>
        <b/>
        <sz val="14"/>
        <rFont val="Aptos"/>
        <family val="2"/>
      </rPr>
      <t>Nº médio de novos passageiros gerados pelo projeto</t>
    </r>
    <r>
      <rPr>
        <sz val="14"/>
        <rFont val="Aptos"/>
        <family val="2"/>
      </rPr>
      <t>, num ano típico de funcionamento</t>
    </r>
  </si>
  <si>
    <r>
      <t xml:space="preserve">1.  Introduzir nas colunas </t>
    </r>
    <r>
      <rPr>
        <b/>
        <sz val="14"/>
        <color rgb="FF028882"/>
        <rFont val="Aptos"/>
        <family val="2"/>
      </rPr>
      <t>VALOR</t>
    </r>
    <r>
      <rPr>
        <sz val="14"/>
        <rFont val="Aptos"/>
        <family val="2"/>
      </rPr>
      <t xml:space="preserve"> abaixo a </t>
    </r>
    <r>
      <rPr>
        <b/>
        <sz val="14"/>
        <rFont val="Aptos"/>
        <family val="2"/>
      </rPr>
      <t>AZUL</t>
    </r>
    <r>
      <rPr>
        <sz val="14"/>
        <rFont val="Aptos"/>
        <family val="2"/>
      </rPr>
      <t xml:space="preserve"> os valores médios, quando aplicável:                                                                                                                                                                          </t>
    </r>
    <r>
      <rPr>
        <b/>
        <sz val="14"/>
        <rFont val="Aptos"/>
        <family val="2"/>
      </rPr>
      <t>Outros consumos de eletricidade</t>
    </r>
    <r>
      <rPr>
        <sz val="14"/>
        <rFont val="Aptos"/>
        <family val="2"/>
      </rPr>
      <t xml:space="preserve"> - Consumo anual de eletricidade num ano típico de funcionamento (i.e. ano típico= n+2 em que "n" é o ano de ínicio de operação do projeto)                                                                                                                                                              </t>
    </r>
  </si>
  <si>
    <t>Distância média das deslocações em autocarro:</t>
  </si>
  <si>
    <t xml:space="preserve">Assume-se que todos os novos passageiros gerados pelo projeto são provenientes de outros tipos de transporte (ex. automóvel, metro, comboio urbano); também se considera o modo pedonal e a procura induzida. Neste sentido, os valores introduzidos para as transferências modais (TM) devem somar 100%.  </t>
  </si>
  <si>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minibus elétrico</t>
    </r>
    <r>
      <rPr>
        <sz val="14"/>
        <color theme="1"/>
        <rFont val="Aptos"/>
        <family val="2"/>
      </rPr>
      <t>?</t>
    </r>
  </si>
  <si>
    <r>
      <t xml:space="preserve">1.  Introduzir nas colunas </t>
    </r>
    <r>
      <rPr>
        <b/>
        <sz val="14"/>
        <color rgb="FF028882"/>
        <rFont val="Aptos"/>
        <family val="2"/>
      </rPr>
      <t>VALOR</t>
    </r>
    <r>
      <rPr>
        <sz val="14"/>
        <rFont val="Aptos"/>
        <family val="2"/>
      </rPr>
      <t xml:space="preserve"> abaixo a </t>
    </r>
    <r>
      <rPr>
        <b/>
        <sz val="14"/>
        <color rgb="FF028882"/>
        <rFont val="Aptos"/>
        <family val="2"/>
      </rPr>
      <t>AZUL</t>
    </r>
    <r>
      <rPr>
        <sz val="14"/>
        <rFont val="Aptos"/>
        <family val="2"/>
      </rPr>
      <t xml:space="preserve"> os valores médios, quando aplicável:                                                                                                                                                                                                                                                 </t>
    </r>
    <r>
      <rPr>
        <b/>
        <sz val="14"/>
        <rFont val="Aptos"/>
        <family val="2"/>
      </rPr>
      <t xml:space="preserve"> </t>
    </r>
    <r>
      <rPr>
        <sz val="14"/>
        <rFont val="Aptos"/>
        <family val="2"/>
      </rPr>
      <t xml:space="preserve"> </t>
    </r>
  </si>
  <si>
    <t xml:space="preserve">Assume-se que todos os novos passageiros gerados pelo projeto são provenientes de outros tipos de transporte (ex. automóvel, autocarro, metro, comboio urbano); modo pedonal, procura induzida); também se considera o modo pedonal e a procura induzida. Neste sentido, os valores introduzidos para as transferências modais (TM) devem somar 100%.  </t>
  </si>
  <si>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 xml:space="preserve"> metro (subterrâneo)</t>
    </r>
    <r>
      <rPr>
        <sz val="14"/>
        <color theme="1"/>
        <rFont val="Aptos"/>
        <family val="2"/>
      </rPr>
      <t>?</t>
    </r>
  </si>
  <si>
    <r>
      <t xml:space="preserve">Qual a TM expectável do </t>
    </r>
    <r>
      <rPr>
        <b/>
        <sz val="14"/>
        <color theme="1"/>
        <rFont val="Aptos"/>
        <family val="2"/>
      </rPr>
      <t>comboio</t>
    </r>
    <r>
      <rPr>
        <sz val="14"/>
        <color theme="1"/>
        <rFont val="Aptos"/>
        <family val="2"/>
      </rPr>
      <t xml:space="preserve"> </t>
    </r>
    <r>
      <rPr>
        <b/>
        <sz val="14"/>
        <color theme="1"/>
        <rFont val="Aptos"/>
        <family val="2"/>
      </rPr>
      <t>urbano</t>
    </r>
    <r>
      <rPr>
        <sz val="14"/>
        <color theme="1"/>
        <rFont val="Aptos"/>
        <family val="2"/>
      </rPr>
      <t xml:space="preserve"> para </t>
    </r>
    <r>
      <rPr>
        <b/>
        <sz val="14"/>
        <color theme="1"/>
        <rFont val="Aptos"/>
        <family val="2"/>
      </rPr>
      <t xml:space="preserve"> metro (superficie)</t>
    </r>
    <r>
      <rPr>
        <sz val="14"/>
        <color theme="1"/>
        <rFont val="Aptos"/>
        <family val="2"/>
      </rPr>
      <t>?</t>
    </r>
  </si>
  <si>
    <r>
      <t xml:space="preserve">Qual a TM expectável do </t>
    </r>
    <r>
      <rPr>
        <b/>
        <sz val="14"/>
        <color theme="1"/>
        <rFont val="Aptos"/>
        <family val="2"/>
      </rPr>
      <t>elétrico</t>
    </r>
    <r>
      <rPr>
        <sz val="14"/>
        <color theme="1"/>
        <rFont val="Aptos"/>
        <family val="2"/>
      </rPr>
      <t xml:space="preserve"> para </t>
    </r>
    <r>
      <rPr>
        <b/>
        <sz val="14"/>
        <color theme="1"/>
        <rFont val="Aptos"/>
        <family val="2"/>
      </rPr>
      <t xml:space="preserve"> metro (superficie)</t>
    </r>
    <r>
      <rPr>
        <sz val="14"/>
        <color theme="1"/>
        <rFont val="Aptos"/>
        <family val="2"/>
      </rPr>
      <t>?</t>
    </r>
  </si>
  <si>
    <r>
      <t xml:space="preserve">Qual a TM expectável do </t>
    </r>
    <r>
      <rPr>
        <b/>
        <sz val="14"/>
        <color theme="1"/>
        <rFont val="Aptos"/>
        <family val="2"/>
      </rPr>
      <t>comboio</t>
    </r>
    <r>
      <rPr>
        <sz val="14"/>
        <color theme="1"/>
        <rFont val="Aptos"/>
        <family val="2"/>
      </rPr>
      <t xml:space="preserve"> </t>
    </r>
    <r>
      <rPr>
        <b/>
        <sz val="14"/>
        <color theme="1"/>
        <rFont val="Aptos"/>
        <family val="2"/>
      </rPr>
      <t>urbano</t>
    </r>
    <r>
      <rPr>
        <sz val="14"/>
        <color theme="1"/>
        <rFont val="Aptos"/>
        <family val="2"/>
      </rPr>
      <t xml:space="preserve"> para </t>
    </r>
    <r>
      <rPr>
        <b/>
        <sz val="14"/>
        <color theme="1"/>
        <rFont val="Aptos"/>
        <family val="2"/>
      </rPr>
      <t xml:space="preserve"> metro (superficie+ subterrâneo)</t>
    </r>
    <r>
      <rPr>
        <sz val="14"/>
        <color theme="1"/>
        <rFont val="Aptos"/>
        <family val="2"/>
      </rPr>
      <t>?</t>
    </r>
  </si>
  <si>
    <r>
      <t xml:space="preserve">Qual a TM expectável do </t>
    </r>
    <r>
      <rPr>
        <b/>
        <sz val="14"/>
        <color theme="1"/>
        <rFont val="Aptos"/>
        <family val="2"/>
      </rPr>
      <t>comboio</t>
    </r>
    <r>
      <rPr>
        <sz val="14"/>
        <color theme="1"/>
        <rFont val="Aptos"/>
        <family val="2"/>
      </rPr>
      <t xml:space="preserve"> </t>
    </r>
    <r>
      <rPr>
        <b/>
        <sz val="14"/>
        <color theme="1"/>
        <rFont val="Aptos"/>
        <family val="2"/>
      </rPr>
      <t>urbano</t>
    </r>
    <r>
      <rPr>
        <sz val="14"/>
        <color theme="1"/>
        <rFont val="Aptos"/>
        <family val="2"/>
      </rPr>
      <t xml:space="preserve"> para o </t>
    </r>
    <r>
      <rPr>
        <b/>
        <sz val="14"/>
        <color theme="1"/>
        <rFont val="Aptos"/>
        <family val="2"/>
      </rPr>
      <t>outro material circulante</t>
    </r>
    <r>
      <rPr>
        <sz val="14"/>
        <color theme="1"/>
        <rFont val="Aptos"/>
        <family val="2"/>
      </rPr>
      <t>?</t>
    </r>
  </si>
  <si>
    <r>
      <rPr>
        <b/>
        <sz val="14"/>
        <rFont val="Aptos"/>
        <family val="2"/>
      </rPr>
      <t>Pressuposto Transferência Modal (TM):</t>
    </r>
    <r>
      <rPr>
        <sz val="14"/>
        <rFont val="Aptos"/>
        <family val="2"/>
      </rPr>
      <t xml:space="preserve"> Implica a transição de um tipo de transporte para outro para efeitos de deslocação. Aplica-se a projetos de redes e vias, substituição/ renovação/ aquisição de novos veículos (micromobilidade), frota de autocarros/ embarcações e material circulante (comboios) e criação de parques de estacionamento junto a interfaces modais.</t>
    </r>
  </si>
  <si>
    <t xml:space="preserve">Assume-se que todos os novos passageiros gerados pelo projeto são provenientes de outros tipos de transporte (ex. automóvel, autocarro, comboio); considera-se também a procura induzida. Neste sentido, os valores introduzidos para as transferências modais (TM) devem somar 100%.  </t>
  </si>
  <si>
    <r>
      <rPr>
        <b/>
        <sz val="14"/>
        <rFont val="Aptos"/>
        <family val="2"/>
      </rPr>
      <t>Nº total de Quilómetros evitados, por transferência modal</t>
    </r>
    <r>
      <rPr>
        <sz val="14"/>
        <rFont val="Aptos"/>
        <family val="2"/>
      </rPr>
      <t xml:space="preserve">, num ano típico de funcionamento.          </t>
    </r>
  </si>
  <si>
    <r>
      <rPr>
        <b/>
        <sz val="14"/>
        <rFont val="Aptos"/>
        <family val="2"/>
      </rPr>
      <t>Nota 1:</t>
    </r>
    <r>
      <rPr>
        <sz val="14"/>
        <rFont val="Aptos"/>
        <family val="2"/>
      </rPr>
      <t xml:space="preserve"> a % tipologia automóvel (padrão) inclui apenas os automóveis a gasóleo, gasolina, elétricos a bateria (iões de lítio), híbridos (Plug In) e híbridos (motor desconhecido). As % tipologia automóvel (padrão) foram estimadas de acordo com os dados do INE 2023- Estatísticas do transporte.</t>
    </r>
  </si>
  <si>
    <t>D. Tipologia de veículos a utilizar o parque de estacionamento</t>
  </si>
  <si>
    <t>Passo II- Selecionar a % tipologia automóvel a utilizar o parque de estacionamento</t>
  </si>
  <si>
    <t xml:space="preserve">Assume-se que todos os utilizadores, com potencial de transferência modal, utilizaram  de transporte de micromobilidade gerados pelo projeto foram provenientes de outros tipos de transporte (ex. automóvel, autocarro, metro, comboio urbano); também é considerado o modo pedonal e a procura induzida. Neste sentido, os valores introduzidos para as transferências modais (TM) devem somar 100%.  </t>
  </si>
  <si>
    <t xml:space="preserve"> Total  Absolutas sem ProdT</t>
  </si>
  <si>
    <t>Emissões absolutas(ProdT)</t>
  </si>
  <si>
    <t>Emissões absolutas totais (Com ProdT)</t>
  </si>
  <si>
    <r>
      <t xml:space="preserve">1. </t>
    </r>
    <r>
      <rPr>
        <b/>
        <sz val="14"/>
        <rFont val="Aptos"/>
        <family val="2"/>
      </rPr>
      <t>Emissões absolutas (A</t>
    </r>
    <r>
      <rPr>
        <b/>
        <vertAlign val="subscript"/>
        <sz val="14"/>
        <rFont val="Aptos"/>
        <family val="2"/>
      </rPr>
      <t>b</t>
    </r>
    <r>
      <rPr>
        <b/>
        <sz val="14"/>
        <rFont val="Aptos"/>
        <family val="2"/>
      </rPr>
      <t>)</t>
    </r>
    <r>
      <rPr>
        <sz val="14"/>
        <rFont val="Aptos"/>
        <family val="2"/>
      </rPr>
      <t xml:space="preserve">, num ano típico de funcionamento (valor médio) e no horizonte temporal do projeto. São apresentadas as emissões absolutas totais e por tipo de transporte em tonelada de CO2e/ano. </t>
    </r>
    <r>
      <rPr>
        <b/>
        <sz val="14"/>
        <rFont val="Aptos"/>
        <family val="2"/>
      </rPr>
      <t xml:space="preserve">Nota: </t>
    </r>
    <r>
      <rPr>
        <sz val="14"/>
        <rFont val="Aptos"/>
        <family val="2"/>
      </rPr>
      <t>As emissões absolutas referem-se apenas às geradas pelo projeto.</t>
    </r>
  </si>
  <si>
    <r>
      <t xml:space="preserve">2. </t>
    </r>
    <r>
      <rPr>
        <b/>
        <sz val="14"/>
        <rFont val="Aptos"/>
        <family val="2"/>
      </rPr>
      <t>Emissões de referência (B</t>
    </r>
    <r>
      <rPr>
        <b/>
        <vertAlign val="subscript"/>
        <sz val="14"/>
        <rFont val="Aptos"/>
        <family val="2"/>
      </rPr>
      <t>e</t>
    </r>
    <r>
      <rPr>
        <b/>
        <sz val="14"/>
        <rFont val="Aptos"/>
        <family val="2"/>
      </rPr>
      <t>)</t>
    </r>
    <r>
      <rPr>
        <sz val="14"/>
        <rFont val="Aptos"/>
        <family val="2"/>
      </rPr>
      <t>, i.e. emissões de GEE num cenário provável na ausência do projeto, num ano típico de funcionamento (valor médio) e no horizonte temporal do projeto. São apresentadas as emissões de referência totais e por tipo de transporte em tonelada de CO2e/ano.</t>
    </r>
  </si>
  <si>
    <r>
      <t xml:space="preserve">3. </t>
    </r>
    <r>
      <rPr>
        <b/>
        <sz val="14"/>
        <rFont val="Aptos"/>
        <family val="2"/>
      </rPr>
      <t>Emissões relativas (R</t>
    </r>
    <r>
      <rPr>
        <b/>
        <vertAlign val="subscript"/>
        <sz val="14"/>
        <rFont val="Aptos"/>
        <family val="2"/>
      </rPr>
      <t>e</t>
    </r>
    <r>
      <rPr>
        <b/>
        <sz val="14"/>
        <rFont val="Aptos"/>
        <family val="2"/>
      </rPr>
      <t>)</t>
    </r>
    <r>
      <rPr>
        <sz val="14"/>
        <rFont val="Aptos"/>
        <family val="2"/>
      </rPr>
      <t xml:space="preserve"> de um projecto de mobilidade, num ano típico de funcionamento (valor médio) e no horizonte temporal do projeto, relativamente a um cenário de referência (cenário provável na ausência do projeto). São apresentadas as emissões relativas totais e por tipo de transporte em tonelada de CO2e/ano (tCO2e/ano). Equação utilizada para o cálculo das emissões relativas: R</t>
    </r>
    <r>
      <rPr>
        <vertAlign val="subscript"/>
        <sz val="14"/>
        <rFont val="Aptos"/>
        <family val="2"/>
      </rPr>
      <t>e</t>
    </r>
    <r>
      <rPr>
        <sz val="14"/>
        <rFont val="Aptos"/>
        <family val="2"/>
      </rPr>
      <t>= A</t>
    </r>
    <r>
      <rPr>
        <vertAlign val="subscript"/>
        <sz val="14"/>
        <rFont val="Aptos"/>
        <family val="2"/>
      </rPr>
      <t>b</t>
    </r>
    <r>
      <rPr>
        <sz val="14"/>
        <rFont val="Aptos"/>
        <family val="2"/>
      </rPr>
      <t>- B</t>
    </r>
    <r>
      <rPr>
        <vertAlign val="subscript"/>
        <sz val="14"/>
        <rFont val="Aptos"/>
        <family val="2"/>
      </rPr>
      <t>e</t>
    </r>
  </si>
  <si>
    <r>
      <t xml:space="preserve">4. </t>
    </r>
    <r>
      <rPr>
        <b/>
        <sz val="14"/>
        <rFont val="Aptos"/>
        <family val="2"/>
      </rPr>
      <t>Emissões evitadas (EV)</t>
    </r>
    <r>
      <rPr>
        <sz val="14"/>
        <rFont val="Aptos"/>
        <family val="2"/>
      </rPr>
      <t xml:space="preserve"> de um projecto de mobilidade, num ano típico de funcionamento e no horizonte temporal do projeto, relativamente a um cenário de referência (cenário provável na ausência do projeto). São apresentadas as emissões evitadas totais em tonelada de CO2e/ano (tCO2e/ano). Equação para o cálculo das emissões evitadas: - R</t>
    </r>
    <r>
      <rPr>
        <vertAlign val="subscript"/>
        <sz val="14"/>
        <rFont val="Aptos"/>
        <family val="2"/>
      </rPr>
      <t>e</t>
    </r>
    <r>
      <rPr>
        <sz val="14"/>
        <rFont val="Aptos"/>
        <family val="2"/>
      </rPr>
      <t>=B</t>
    </r>
    <r>
      <rPr>
        <vertAlign val="subscript"/>
        <sz val="14"/>
        <rFont val="Aptos"/>
        <family val="2"/>
      </rPr>
      <t>e</t>
    </r>
    <r>
      <rPr>
        <sz val="14"/>
        <rFont val="Aptos"/>
        <family val="2"/>
      </rPr>
      <t>-  A</t>
    </r>
    <r>
      <rPr>
        <vertAlign val="subscript"/>
        <sz val="14"/>
        <rFont val="Aptos"/>
        <family val="2"/>
      </rPr>
      <t>b</t>
    </r>
  </si>
  <si>
    <r>
      <t>2. A calculadora permite obter resultados das principais emissões de GEE (A</t>
    </r>
    <r>
      <rPr>
        <vertAlign val="subscript"/>
        <sz val="14"/>
        <rFont val="Aptos"/>
        <family val="2"/>
      </rPr>
      <t>b</t>
    </r>
    <r>
      <rPr>
        <sz val="14"/>
        <rFont val="Aptos"/>
        <family val="2"/>
      </rPr>
      <t>, B</t>
    </r>
    <r>
      <rPr>
        <vertAlign val="subscript"/>
        <sz val="14"/>
        <rFont val="Aptos"/>
        <family val="2"/>
      </rPr>
      <t>e</t>
    </r>
    <r>
      <rPr>
        <sz val="14"/>
        <rFont val="Aptos"/>
        <family val="2"/>
      </rPr>
      <t xml:space="preserve"> e R</t>
    </r>
    <r>
      <rPr>
        <vertAlign val="subscript"/>
        <sz val="14"/>
        <rFont val="Aptos"/>
        <family val="2"/>
      </rPr>
      <t>e</t>
    </r>
    <r>
      <rPr>
        <sz val="14"/>
        <rFont val="Aptos"/>
        <family val="2"/>
      </rPr>
      <t>) COM e SEM as emissões de GEE da produção do transporte</t>
    </r>
    <r>
      <rPr>
        <b/>
        <sz val="14"/>
        <rFont val="Aptos"/>
        <family val="2"/>
      </rPr>
      <t xml:space="preserve"> (ProdT).                           </t>
    </r>
    <r>
      <rPr>
        <sz val="14"/>
        <rFont val="Aptos"/>
        <family val="2"/>
      </rPr>
      <t>Ex.</t>
    </r>
    <r>
      <rPr>
        <b/>
        <sz val="14"/>
        <rFont val="Aptos"/>
        <family val="2"/>
      </rPr>
      <t xml:space="preserve"> </t>
    </r>
    <r>
      <rPr>
        <sz val="14"/>
        <rFont val="Aptos"/>
        <family val="2"/>
      </rPr>
      <t xml:space="preserve">emissões da produção das bicicletas, trotinetas, autocarros, comboios e embarcações. </t>
    </r>
  </si>
  <si>
    <t>Projetos de micromobilidade</t>
  </si>
  <si>
    <r>
      <t xml:space="preserve">3. Projetos de </t>
    </r>
    <r>
      <rPr>
        <b/>
        <sz val="14"/>
        <rFont val="Aptos"/>
        <family val="2"/>
      </rPr>
      <t>criação ou ampliação de redes e vias</t>
    </r>
    <r>
      <rPr>
        <sz val="14"/>
        <rFont val="Aptos"/>
        <family val="2"/>
      </rPr>
      <t xml:space="preserve"> associadas à micromobilidade (ex. criação de ciclovias, vias ciclopedonais). </t>
    </r>
    <r>
      <rPr>
        <b/>
        <sz val="14"/>
        <rFont val="Aptos"/>
        <family val="2"/>
      </rPr>
      <t xml:space="preserve">Exemplo: </t>
    </r>
    <r>
      <rPr>
        <sz val="14"/>
        <rFont val="Aptos"/>
        <family val="2"/>
      </rPr>
      <t xml:space="preserve"> Criação de uma nova ciclovia em que se prevê a circulação de: a) 100 bicicletas não elétricas, em que cada bicicleta percorre 50 quilómetros por ano; b) 150 bicicletas elétricas, em que cada bicicleta percorre 1000 quilómetros por ano; c) 50 trotinetas elétricas, em que cada trotineta percorre 70 quilómetros, num ano típico de funcionamento. 
</t>
    </r>
  </si>
  <si>
    <r>
      <t xml:space="preserve">3. Projetos de </t>
    </r>
    <r>
      <rPr>
        <b/>
        <sz val="14"/>
        <rFont val="Aptos"/>
        <family val="2"/>
      </rPr>
      <t>criação ou ampliação de redes e vias</t>
    </r>
    <r>
      <rPr>
        <sz val="14"/>
        <rFont val="Aptos"/>
        <family val="2"/>
      </rPr>
      <t xml:space="preserve"> associadas ao transporte rodoviário de passageiros. </t>
    </r>
    <r>
      <rPr>
        <b/>
        <sz val="14"/>
        <rFont val="Aptos"/>
        <family val="2"/>
      </rPr>
      <t xml:space="preserve">Exemplo: </t>
    </r>
    <r>
      <rPr>
        <sz val="14"/>
        <rFont val="Aptos"/>
        <family val="2"/>
      </rPr>
      <t xml:space="preserve"> Criação de uma nova via dedicada ao transporte rodoviário de passageiros, prevendo-se a circulação de um total de 10 novos autocarros articulados, em que cada autocarro percorre um total de 30000 quilómetros, num ano típico de funcionamento.  </t>
    </r>
  </si>
  <si>
    <r>
      <t xml:space="preserve">1. Projetos que podem incluir vários tipos de transportes eléctricos ou com baixas emissões, tais como veículos elétricos, motociclos, autocarros urbanos elétricos, bicicletas e trotinetas elétricas. </t>
    </r>
    <r>
      <rPr>
        <b/>
        <sz val="14"/>
        <rFont val="Aptos"/>
        <family val="2"/>
      </rPr>
      <t>Exemplo:</t>
    </r>
    <r>
      <rPr>
        <sz val="14"/>
        <rFont val="Aptos"/>
        <family val="2"/>
      </rPr>
      <t xml:space="preserve"> Criação de uma zona de baixas emissões com permissão de circulação de transporte público elétrico ou com baixas emissões, bicicletas e motociclos elétricos.</t>
    </r>
  </si>
  <si>
    <t>1. Metodologia do Banco Europeu de Investimento para o cálculo da Pegada de Carbono de projetos: EIB Project Carbon Footprint Methodologies, version 11.3, January 2023</t>
  </si>
  <si>
    <t>2. Proposta do Banco Europeu de Investimento para o custo-sombra do carbono: EIB Group Climate Bank Roadmap 2021-2025, November 2020. pg. 121.</t>
  </si>
  <si>
    <t>1. Os fatores de emissão padrão do transporte a combustão (ex. autocarros, comboios, navios/embarcações) foram estimados considerando os fatores de emissão referenciados em bibliografia relacionada com mobilidade ou com os tipos de transporte considerados. As fontes utilizadas e os pressupostos utilizados para estimar os fatores de emissão podem ser consultados no separador "Fatores de Emissão". Foram ainda considerados os fatores de emissão mencionados no Inventário de Emissões de GEE da Agência Portuguesa do Ambiente.</t>
  </si>
  <si>
    <t xml:space="preserve">1. Os fatores de emissão padrão da produção do transporte (ex. bicicletas, trotinetas, autocarros, comboios, navios/embarcações) foram estimados considerando os fatores de emissão referenciados em bibliografia relacionada com mobilidade ou com os tipos de transporte considerados. As fontes utilizadas e os pressupostos utilizados para estimar os fatores de emissão podem ser consultados no separador "Fatores de Emissão". </t>
  </si>
  <si>
    <r>
      <t xml:space="preserve">A. Projeto de criação de redes e vias. Exemplo: </t>
    </r>
    <r>
      <rPr>
        <sz val="14"/>
        <rFont val="Aptos"/>
        <family val="2"/>
      </rPr>
      <t>Criação de uma nova ciclovia.</t>
    </r>
  </si>
  <si>
    <r>
      <t xml:space="preserve">B. Projeto de melhoria/ampliação de redes e vias. Exemplo: </t>
    </r>
    <r>
      <rPr>
        <sz val="14"/>
        <rFont val="Aptos"/>
        <family val="2"/>
      </rPr>
      <t>Duplicação de via ferroviária.</t>
    </r>
    <r>
      <rPr>
        <b/>
        <sz val="14"/>
        <rFont val="Aptos"/>
        <family val="2"/>
      </rPr>
      <t xml:space="preserve"> </t>
    </r>
  </si>
  <si>
    <t>3. Preencher as tabelas dos separadores identificados na Triagem (procedimento comum a todos os separadores da calculadora):</t>
  </si>
  <si>
    <r>
      <rPr>
        <b/>
        <sz val="14"/>
        <rFont val="Aptos"/>
        <family val="2"/>
      </rPr>
      <t xml:space="preserve">- Tipo de Projeto. </t>
    </r>
    <r>
      <rPr>
        <sz val="14"/>
        <rFont val="Aptos"/>
        <family val="2"/>
      </rPr>
      <t xml:space="preserve">Selecionar o tipo de projeto considerando as opções disponibilizadas:  </t>
    </r>
  </si>
  <si>
    <r>
      <t>2. Caso o</t>
    </r>
    <r>
      <rPr>
        <b/>
        <sz val="14"/>
        <rFont val="Aptos"/>
        <family val="2"/>
      </rPr>
      <t xml:space="preserve"> fator de emissão da eletricidade não tenha sido preenchido pelo utilizador </t>
    </r>
    <r>
      <rPr>
        <sz val="14"/>
        <rFont val="Aptos"/>
        <family val="2"/>
      </rPr>
      <t xml:space="preserve">aparecerá um aviso a amarelo: </t>
    </r>
    <r>
      <rPr>
        <b/>
        <sz val="14"/>
        <rFont val="Aptos"/>
        <family val="2"/>
      </rPr>
      <t xml:space="preserve"> </t>
    </r>
    <r>
      <rPr>
        <b/>
        <sz val="14"/>
        <color rgb="FFE2AC00"/>
        <rFont val="Aptos"/>
        <family val="2"/>
      </rPr>
      <t>"!Preencher Fator de Emissão de eletricidade"</t>
    </r>
    <r>
      <rPr>
        <sz val="14"/>
        <rFont val="Aptos"/>
        <family val="2"/>
      </rPr>
      <t xml:space="preserve">. Os </t>
    </r>
    <r>
      <rPr>
        <b/>
        <sz val="14"/>
        <rFont val="Aptos"/>
        <family val="2"/>
      </rPr>
      <t>resultados do cálculo das emissões não são realizados sem o preenchimento obrigatório deste fator de emissão</t>
    </r>
    <r>
      <rPr>
        <sz val="14"/>
        <rFont val="Aptos"/>
        <family val="2"/>
      </rPr>
      <t>.</t>
    </r>
  </si>
  <si>
    <r>
      <t>3. É apresentado um gráfico com as emissões relativas (R</t>
    </r>
    <r>
      <rPr>
        <vertAlign val="subscript"/>
        <sz val="14"/>
        <rFont val="Aptos"/>
        <family val="2"/>
      </rPr>
      <t>e</t>
    </r>
    <r>
      <rPr>
        <sz val="14"/>
        <rFont val="Aptos"/>
        <family val="2"/>
      </rPr>
      <t>), emissões absolutas (A</t>
    </r>
    <r>
      <rPr>
        <vertAlign val="subscript"/>
        <sz val="14"/>
        <rFont val="Aptos"/>
        <family val="2"/>
      </rPr>
      <t>b</t>
    </r>
    <r>
      <rPr>
        <sz val="14"/>
        <rFont val="Aptos"/>
        <family val="2"/>
      </rPr>
      <t>) e emissões de referência (B</t>
    </r>
    <r>
      <rPr>
        <vertAlign val="subscript"/>
        <sz val="14"/>
        <rFont val="Aptos"/>
        <family val="2"/>
      </rPr>
      <t>e</t>
    </r>
    <r>
      <rPr>
        <sz val="14"/>
        <rFont val="Aptos"/>
        <family val="2"/>
      </rPr>
      <t>).</t>
    </r>
  </si>
  <si>
    <r>
      <t>(A) Se R</t>
    </r>
    <r>
      <rPr>
        <vertAlign val="subscript"/>
        <sz val="14"/>
        <rFont val="Aptos"/>
        <family val="2"/>
      </rPr>
      <t>e</t>
    </r>
    <r>
      <rPr>
        <sz val="14"/>
        <rFont val="Aptos"/>
        <family val="2"/>
      </rPr>
      <t xml:space="preserve"> &lt; 0, o projeto contribui para a redução das emissões de GEE relativamente às emissões do cenário de referência considerado. </t>
    </r>
  </si>
  <si>
    <t>(B) Se Re = 0, o projeto apresenta emissões de GEE iguais às emissões do cenário de referência considerado.</t>
  </si>
  <si>
    <t>(C) Se Re &gt;0, o projeto contribui para o incremento das emissões de GEE relativamente às emissões do cenário de referência considerado.</t>
  </si>
  <si>
    <t xml:space="preserve">(A) Se as emissões evitadas (EV) &gt; 0, o projeto contribui para a redução das emissões de GEE relativamente às emissões do cenário de referência considerado. </t>
  </si>
  <si>
    <t>(B) Se as emissões evitadas (EV) = 0, o projeto apresenta emissões de GEE iguais às emissões do cenário de referência considerado.</t>
  </si>
  <si>
    <t>(C) Se as emissões evitadas (EV) &lt; 0, o projeto contribui para o incremento das emissões de GEE relativamente às emissões do cenário de referência considerado.</t>
  </si>
  <si>
    <t>7. As emissões de GEE para o horizonte temporal do projeto são apresentadas no separador RE_resultados e implicam o preenchimento obrigatório do ""Horizonte temporal do projeto" no separador ID_Identificação do projeto.</t>
  </si>
  <si>
    <t>4. Exemplos de cálculo de emissões de GEE em projetos de mobilidade</t>
  </si>
  <si>
    <t>4.1 Onde encontrar exemplos de cálculo de emissões de GEE em projetos de mobilidade utilizando a GEE?</t>
  </si>
  <si>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de energia desconhecida)</t>
    </r>
    <r>
      <rPr>
        <sz val="14"/>
        <color theme="1"/>
        <rFont val="Aptos"/>
        <family val="2"/>
      </rPr>
      <t xml:space="preserve"> para o </t>
    </r>
    <r>
      <rPr>
        <b/>
        <sz val="14"/>
        <color theme="1"/>
        <rFont val="Aptos"/>
        <family val="2"/>
      </rPr>
      <t>outros navios/embarcações</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</si>
  <si>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t>
    </r>
    <r>
      <rPr>
        <b/>
        <sz val="14"/>
        <color theme="1"/>
        <rFont val="Aptos"/>
        <family val="2"/>
      </rPr>
      <t>outros navios/embarcações</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</si>
  <si>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outros navios/embarcações</t>
    </r>
    <r>
      <rPr>
        <sz val="14"/>
        <color theme="1"/>
        <rFont val="Aptos"/>
        <family val="2"/>
      </rPr>
      <t>?</t>
    </r>
  </si>
  <si>
    <r>
      <t xml:space="preserve">Qual a </t>
    </r>
    <r>
      <rPr>
        <b/>
        <sz val="14"/>
        <color theme="1"/>
        <rFont val="Aptos"/>
        <family val="2"/>
      </rPr>
      <t>procura induzida</t>
    </r>
    <r>
      <rPr>
        <sz val="14"/>
        <color theme="1"/>
        <rFont val="Aptos"/>
        <family val="2"/>
      </rPr>
      <t xml:space="preserve"> para </t>
    </r>
    <r>
      <rPr>
        <b/>
        <sz val="14"/>
        <color theme="1"/>
        <rFont val="Aptos"/>
        <family val="2"/>
      </rPr>
      <t>outros navios/embarcações</t>
    </r>
    <r>
      <rPr>
        <sz val="14"/>
        <color theme="1"/>
        <rFont val="Aptos"/>
        <family val="2"/>
      </rPr>
      <t>?</t>
    </r>
  </si>
  <si>
    <t>Quadro C e D: Pressuposto da Transferência Modal</t>
  </si>
  <si>
    <r>
      <t xml:space="preserve">3. Projetos de </t>
    </r>
    <r>
      <rPr>
        <b/>
        <sz val="14"/>
        <rFont val="Aptos"/>
        <family val="2"/>
      </rPr>
      <t>criação ou melhoria/ampliação de redes e vias</t>
    </r>
    <r>
      <rPr>
        <sz val="14"/>
        <rFont val="Aptos"/>
        <family val="2"/>
      </rPr>
      <t xml:space="preserve"> associadas ao transporte ferroviário de passageiros. </t>
    </r>
    <r>
      <rPr>
        <b/>
        <sz val="14"/>
        <rFont val="Aptos"/>
        <family val="2"/>
      </rPr>
      <t xml:space="preserve">Exemplo: </t>
    </r>
    <r>
      <rPr>
        <sz val="14"/>
        <rFont val="Aptos"/>
        <family val="2"/>
      </rPr>
      <t xml:space="preserve"> Ampliação da rede de metro de superfície, prevendo-se a circulação de um total de 10 novos comboios, e em que cada comboio percorre um total de 10000 quilómetros, num ano típico de funcionamento. 
</t>
    </r>
  </si>
  <si>
    <r>
      <t xml:space="preserve">1. O pressuposto da Redução da Intensidade Carbónica (IC), implica a existência de uma potencial alteração tecnológica no tipo de transporte a adquirir, de modo a permitir uma redução das emissões de GEE totais por unidade (no setor dos transportes esta unidade é geralmente o veículo-quilómetro ou passageiro-quilómetro).                                         </t>
    </r>
    <r>
      <rPr>
        <b/>
        <sz val="14"/>
        <rFont val="Aptos"/>
        <family val="2"/>
      </rPr>
      <t xml:space="preserve">Exemplo: </t>
    </r>
    <r>
      <rPr>
        <sz val="14"/>
        <rFont val="Aptos"/>
        <family val="2"/>
      </rPr>
      <t>Substituição de autocarros a gasóleo por autocarros com menor fator de emissão por veículo-quilómetro (ex. autocarros elétricos).</t>
    </r>
  </si>
  <si>
    <r>
      <t xml:space="preserve">1. Considerar todas as componentes incluídas no Projeto (ex. Projeto de criação de zona com baixas emissões que inclui a criação de ciclovias, a aquisição de bicicletas e a renovação de autocarros). </t>
    </r>
    <r>
      <rPr>
        <b/>
        <sz val="17"/>
        <rFont val="Aptos"/>
        <family val="2"/>
      </rPr>
      <t xml:space="preserve">Nota: </t>
    </r>
    <r>
      <rPr>
        <sz val="17"/>
        <rFont val="Aptos"/>
        <family val="2"/>
      </rPr>
      <t>Não existe um separador específico para os projetos de zonas condicionadas 20/30, bem como para zonas com baixas emissões. Nestes casos, devem identificar-se quais os pressupostos e os projetos que integram a criação destas zonas, e preencher os respetivos separadores. Os resultados globais podem ser visualizados em Re_resultados.</t>
    </r>
  </si>
  <si>
    <r>
      <t xml:space="preserve">1. Introduzir nos campos abaixo a </t>
    </r>
    <r>
      <rPr>
        <b/>
        <sz val="14"/>
        <color rgb="FF02A39C"/>
        <rFont val="Aptos"/>
        <family val="2"/>
      </rPr>
      <t>AZUL</t>
    </r>
    <r>
      <rPr>
        <sz val="14"/>
        <rFont val="Aptos"/>
        <family val="2"/>
      </rPr>
      <t xml:space="preserve"> os valores das transferências modais (% captação TM), quando aplicável.                       </t>
    </r>
    <r>
      <rPr>
        <b/>
        <sz val="14"/>
        <rFont val="Aptos"/>
        <family val="2"/>
      </rPr>
      <t>Nota:</t>
    </r>
    <r>
      <rPr>
        <sz val="14"/>
        <rFont val="Aptos"/>
        <family val="2"/>
      </rPr>
      <t xml:space="preserve"> Introduzir apenas valores positivos.</t>
    </r>
  </si>
  <si>
    <r>
      <t xml:space="preserve">1. Introduzir nos campos abaixo a </t>
    </r>
    <r>
      <rPr>
        <b/>
        <sz val="14"/>
        <color rgb="FF02A39C"/>
        <rFont val="Aptos"/>
        <family val="2"/>
      </rPr>
      <t>AZUL</t>
    </r>
    <r>
      <rPr>
        <sz val="14"/>
        <rFont val="Aptos"/>
        <family val="2"/>
      </rPr>
      <t xml:space="preserve"> os valores das transferências modais (% captação TM), quando aplicável.                                </t>
    </r>
    <r>
      <rPr>
        <b/>
        <sz val="14"/>
        <rFont val="Aptos"/>
        <family val="2"/>
      </rPr>
      <t>Nota:</t>
    </r>
    <r>
      <rPr>
        <sz val="14"/>
        <rFont val="Aptos"/>
        <family val="2"/>
      </rPr>
      <t xml:space="preserve"> Introduzir apenas valores positivos.</t>
    </r>
  </si>
  <si>
    <r>
      <t xml:space="preserve">1. Introduzir nos campos abaixo a </t>
    </r>
    <r>
      <rPr>
        <b/>
        <sz val="14"/>
        <color rgb="FF02A39C"/>
        <rFont val="Aptos"/>
        <family val="2"/>
      </rPr>
      <t>AZUL</t>
    </r>
    <r>
      <rPr>
        <sz val="14"/>
        <rFont val="Aptos"/>
        <family val="2"/>
      </rPr>
      <t xml:space="preserve"> os valores das transferências modais (% captação TM), quando aplicável.  </t>
    </r>
    <r>
      <rPr>
        <b/>
        <sz val="14"/>
        <rFont val="Aptos"/>
        <family val="2"/>
      </rPr>
      <t>Nota:</t>
    </r>
    <r>
      <rPr>
        <sz val="14"/>
        <rFont val="Aptos"/>
        <family val="2"/>
      </rPr>
      <t xml:space="preserve"> Introduzir apenas valores positivos.</t>
    </r>
  </si>
  <si>
    <t>Consultar os anexos do manual do utilizador para encontrar exemplos de utilização da GEE_mobilidade no cálculo das emissões de GEE em projetos de mobilidade urbana.</t>
  </si>
  <si>
    <r>
      <rPr>
        <b/>
        <sz val="14"/>
        <rFont val="Aptos"/>
        <family val="2"/>
      </rPr>
      <t xml:space="preserve">Nº de autocarros * Nº km (km percorridos em média por um autocarro), </t>
    </r>
    <r>
      <rPr>
        <sz val="14"/>
        <rFont val="Aptos"/>
        <family val="2"/>
      </rPr>
      <t xml:space="preserve">num ano típico de funcionamento:                                                                                                                                                                                                                    (A) </t>
    </r>
    <r>
      <rPr>
        <u/>
        <sz val="14"/>
        <rFont val="Aptos"/>
        <family val="2"/>
      </rPr>
      <t>Projetos de redes e vias</t>
    </r>
    <r>
      <rPr>
        <sz val="14"/>
        <rFont val="Aptos"/>
        <family val="2"/>
      </rPr>
      <t xml:space="preserve"> - Nº autocarros (valor médio) * Nº de km de rede/ via a construir/ ampliar/ melhorar pelo projeto, num ano. Ex. o projeto prevê a melhoria de 20 km de via rodoviária dedicada onde circulam 10 autocarros (em adição à frota existente), em média, por dia =20*10*365= 73 000 vkm. </t>
    </r>
    <r>
      <rPr>
        <b/>
        <sz val="14"/>
        <color rgb="FF02A39C"/>
        <rFont val="Aptos"/>
        <family val="2"/>
      </rPr>
      <t>VALOR</t>
    </r>
    <r>
      <rPr>
        <sz val="14"/>
        <rFont val="Aptos"/>
        <family val="2"/>
      </rPr>
      <t xml:space="preserve">= 73 000                                                                                                                                                                                                               (B) </t>
    </r>
    <r>
      <rPr>
        <u/>
        <sz val="14"/>
        <rFont val="Aptos"/>
        <family val="2"/>
      </rPr>
      <t xml:space="preserve">Projetos de aquisição de transporte de passageiros </t>
    </r>
    <r>
      <rPr>
        <sz val="14"/>
        <rFont val="Aptos"/>
        <family val="2"/>
      </rPr>
      <t xml:space="preserve">- Nº autocarros a adquirir (em adição à frota existente) * Nº médio de km percorridos por autocarro, num ano. Ex. o projeto prevê a aquisição de 20 novos autocarros standard elétricos (bateria de iões de litio e hidrogénio fuel cell) em adição à frota existente (10 autocarros); 5 autocarros foram para abate; cada autocarro percorre 20 000 km num ano = (20+10-5)*20 000= 500 000 vkm.  </t>
    </r>
    <r>
      <rPr>
        <b/>
        <sz val="14"/>
        <color rgb="FF02A39C"/>
        <rFont val="Aptos"/>
        <family val="2"/>
      </rPr>
      <t>VALOR</t>
    </r>
    <r>
      <rPr>
        <sz val="14"/>
        <rFont val="Aptos"/>
        <family val="2"/>
      </rPr>
      <t xml:space="preserve">= 500 000 </t>
    </r>
  </si>
  <si>
    <t>1. Os fatores de emissão padrão do transporte elétrico (ex. bicicleta/ trotinetas elétricas, autocarros elétricos, comboios movidos a eletricidade, navios/embarcações elétricos) foram estimados considerando o consumo de eletricidade do tipo de transporte referenciado em bibliografia relacionada com mobilidade ou com os tipos de transporte previstos na calculadora. As fontes utilizadas e os pressupostos utilizados para estimar os fatores de emissão podem ser consultados no separador "Fatores de Emissão". Sempre que exista informação bibliográfica disponível, os fatores de emissão padrão do transporte elétrico são estimados tendo em consideração o fator de emissão de eletricidade indicado pelo utilizador (campo de preenchimento obrigatório nos separadores relacionados com a transferência modal).</t>
  </si>
  <si>
    <t>Fator de emissão meio de transporte (kgCO2eq/p.km) - padrão</t>
  </si>
  <si>
    <t>Embarcações elétricas</t>
  </si>
  <si>
    <r>
      <rPr>
        <b/>
        <sz val="14"/>
        <rFont val="Aptos"/>
        <family val="2"/>
      </rPr>
      <t xml:space="preserve">Outros consumos de eletricidade: </t>
    </r>
    <r>
      <rPr>
        <sz val="14"/>
        <rFont val="Aptos"/>
        <family val="2"/>
      </rPr>
      <t>Consumo anual de eletricidade (ex. iluminação urbana) num ano típico de funcionamento (i.e. ano típico= n+2 em que "n" é o ano de ínicio de operação do projeto)</t>
    </r>
  </si>
  <si>
    <t>6. O cálculo do Custo-sombra associado às emissões relativas do projeto implica o preenchimento obrigatório do "Ano de inicio de exploração do projeto" no separador ID_Identificação do projeto.</t>
  </si>
  <si>
    <r>
      <t xml:space="preserve">-  Ano do início da exploração do projeto  </t>
    </r>
    <r>
      <rPr>
        <sz val="14"/>
        <rFont val="Aptos"/>
        <family val="2"/>
      </rPr>
      <t>(</t>
    </r>
    <r>
      <rPr>
        <b/>
        <sz val="14"/>
        <rFont val="Aptos"/>
        <family val="2"/>
      </rPr>
      <t>ex. 2030</t>
    </r>
    <r>
      <rPr>
        <sz val="14"/>
        <rFont val="Aptos"/>
        <family val="2"/>
      </rPr>
      <t>)</t>
    </r>
    <r>
      <rPr>
        <b/>
        <sz val="14"/>
        <rFont val="Aptos"/>
        <family val="2"/>
      </rPr>
      <t xml:space="preserve">. </t>
    </r>
    <r>
      <rPr>
        <sz val="14"/>
        <rFont val="Aptos"/>
        <family val="2"/>
      </rPr>
      <t xml:space="preserve">Indicar qual o ano (AAAA) de início de </t>
    </r>
    <r>
      <rPr>
        <b/>
        <sz val="14"/>
        <rFont val="Aptos"/>
        <family val="2"/>
      </rPr>
      <t>exploração</t>
    </r>
    <r>
      <rPr>
        <sz val="14"/>
        <rFont val="Aptos"/>
        <family val="2"/>
      </rPr>
      <t xml:space="preserve"> do projeto.</t>
    </r>
  </si>
  <si>
    <t>B: TM (Nº navios*Nº km ano* %TM)-                                 unidade: km / navio</t>
  </si>
  <si>
    <t>1. Especificar a fonte dos dados e a metodologia utilizada para estimar as transferências modais (obrigatório)</t>
  </si>
  <si>
    <r>
      <t>2. Projetos que incluem a disponibilização de</t>
    </r>
    <r>
      <rPr>
        <b/>
        <sz val="14"/>
        <rFont val="Aptos"/>
        <family val="2"/>
      </rPr>
      <t xml:space="preserve"> estações de carregamento de navios/embarcações</t>
    </r>
    <r>
      <rPr>
        <sz val="14"/>
        <rFont val="Aptos"/>
        <family val="2"/>
      </rPr>
      <t xml:space="preserve">. </t>
    </r>
    <r>
      <rPr>
        <b/>
        <sz val="14"/>
        <rFont val="Aptos"/>
        <family val="2"/>
      </rPr>
      <t>Exemplo:</t>
    </r>
    <r>
      <rPr>
        <sz val="14"/>
        <rFont val="Aptos"/>
        <family val="2"/>
      </rPr>
      <t xml:space="preserve"> Intensificação da oferta de estações de carregamento da frota elétrica de navios/embarcações de transporte de passageiros. </t>
    </r>
    <r>
      <rPr>
        <b/>
        <sz val="14"/>
        <rFont val="Aptos"/>
        <family val="2"/>
      </rPr>
      <t>Nota:</t>
    </r>
    <r>
      <rPr>
        <sz val="14"/>
        <rFont val="Aptos"/>
        <family val="2"/>
      </rPr>
      <t xml:space="preserve"> A GEE_mobilidade não permite o cálculo das emissões de GEE associadas à fase de produção de eletricidade e/ou armazenamento em Portos. Para este efeito, deverá ser utilizada a calculadora "GEE_PInfraRC" disponibilizada pelos Programas do Portugal 2030.</t>
    </r>
  </si>
  <si>
    <r>
      <t xml:space="preserve">Ler atentamente as instruções incluídas em cada tabela (em forma de notas) e preencher os campos a </t>
    </r>
    <r>
      <rPr>
        <b/>
        <sz val="18"/>
        <color rgb="FF02A39C"/>
        <rFont val="Aptos"/>
        <family val="2"/>
      </rPr>
      <t>AZUL CLARO</t>
    </r>
    <r>
      <rPr>
        <sz val="18"/>
        <rFont val="Aptos"/>
        <family val="2"/>
      </rPr>
      <t>, quando aplicável. Colocar obrigatoriamente a fonte e o ano de referência do fator de emissão de GEE, quando aplicável.</t>
    </r>
  </si>
  <si>
    <t>1. Todos os fatores de emissão padrão são apresentados em kg CO2e por  veículo- quilómetro (v.km) ou pessoa-quilómetro (p.km).</t>
  </si>
  <si>
    <t>APA (2025). Fator de emissão de gases com efeito de estufa da Eletricidade produzida em Portugal</t>
  </si>
  <si>
    <t>Fator emissão da operação do transporte (kgCO2e/unidade)</t>
  </si>
  <si>
    <t>Seção 1 -Eletricidade (transportes)</t>
  </si>
  <si>
    <t>Seção 2 - Fatores de emissão para o transporte de passageiros a combustão  (baseado na distância)</t>
  </si>
  <si>
    <t>Contactos</t>
  </si>
  <si>
    <t>kg CO2e/c.km</t>
  </si>
  <si>
    <t>tCO2e/ c.km ou v.km</t>
  </si>
  <si>
    <t>CP- Comboios de Portugal  (Lisboa)</t>
  </si>
  <si>
    <t>Pressuposto Equipa IST: INE (2023)- taxa de utilização do eléctrico = taxa de utilização de transportes rodoviários da Carris (20%) mencionado em Ferreira, F. et al.  (2025). Mobilidade e Transportes nas Áreas Metropolitanas em Portugal - RELATÓRIO FINAL</t>
  </si>
  <si>
    <t>Passageiros transportados (N.º) pelas empresas de transporte rodoviário de passageiros por Local de origem (NUTS - 2024) e Tipo de serviço; Anual</t>
  </si>
  <si>
    <t>Regular (carreiras)</t>
  </si>
  <si>
    <t>Expresso</t>
  </si>
  <si>
    <t>Portugal</t>
  </si>
  <si>
    <t>Lugares-quilómetro oferecidos (N.º) pelas empresas de transporte rodoviário de passageiros por Local de origem (NUTS - 2024) e Tipo de serviço; Anual</t>
  </si>
  <si>
    <t>ocal de origem (NUTS - 2024)</t>
  </si>
  <si>
    <t>Período de referência dos dados</t>
  </si>
  <si>
    <t>Regular</t>
  </si>
  <si>
    <t>N.º (milhões)</t>
  </si>
  <si>
    <t>N.º (milhares)</t>
  </si>
  <si>
    <t>23 043,1 &amp;</t>
  </si>
  <si>
    <t>5 361,5 &amp;</t>
  </si>
  <si>
    <t>524 734,8 &amp;</t>
  </si>
  <si>
    <t>17 328,0 &amp;</t>
  </si>
  <si>
    <t>35 072,1 &amp;</t>
  </si>
  <si>
    <t>33 436,1 &amp;</t>
  </si>
  <si>
    <t>28 561,0 &amp;</t>
  </si>
  <si>
    <t>576 874,4 &amp;</t>
  </si>
  <si>
    <t>575 638,5 &amp;</t>
  </si>
  <si>
    <t>Passageiros transportados (N.º) pelas empresas de transporte rodoviário de passageiros por Local de origem (NUTS - 2024) e Tipo de serviço; Anual - INE, Inquérito ao transporte rodoviário de passageiros</t>
  </si>
  <si>
    <t>Lugares-quilómetro oferecidos (N.º) pelas empresas de transporte rodoviário de passageiros por Local de origem (NUTS - 2024) e Tipo de serviço; Anual - INE, Inquérito ao transporte rodoviário de passageiros</t>
  </si>
  <si>
    <t>Última atualização destes dados: 08 de outubro de 2025</t>
  </si>
  <si>
    <t>Regular-carreiras</t>
  </si>
  <si>
    <t>tx ocupação  (%)</t>
  </si>
  <si>
    <t>Local de origem (NUTS - 2024)</t>
  </si>
  <si>
    <t>Decisão: não inclui no estudo</t>
  </si>
  <si>
    <t>Fonte e ano de referência do fator de emissão de GEE; tipo de autocarro (elétrico/ combustão)</t>
  </si>
  <si>
    <t>IC_fatores de emissão da produção dos transportes</t>
  </si>
  <si>
    <t>Combustão</t>
  </si>
  <si>
    <t>IC_fatores de emissão da produção dos transportes (micromobilidade)</t>
  </si>
  <si>
    <t>Não elétrico</t>
  </si>
  <si>
    <t>Indique o tipo de veículo elétrico</t>
  </si>
  <si>
    <t>3.2 Como  interpretar os resultados das emissões relativas e das emissões evitadas?</t>
  </si>
  <si>
    <r>
      <t xml:space="preserve">1. Avaliação ex-ante (projetos que ainda não ocorreram) das emissões de Gases com Efeito de Estufa (GEE)  absolutas, emissões de referência e emissões relativas da fase de exploração de projetos relacionados com </t>
    </r>
    <r>
      <rPr>
        <b/>
        <sz val="14"/>
        <rFont val="Aptos"/>
        <family val="2"/>
      </rPr>
      <t>projetos de vias/infraestruturas de mobilidade, incluindo ferrovia e metros, de mobilidade urbana e de transporte de passageiros</t>
    </r>
    <r>
      <rPr>
        <sz val="14"/>
        <rFont val="Aptos"/>
        <family val="2"/>
      </rPr>
      <t xml:space="preserve">, num ano típico de funcionamento. Na GEE_mobilidade um ano típico de funcionamento corresponde um ano médio de exploração, i.e. n+2 em que "n" é o ano de inicio de exploração do projeto. </t>
    </r>
  </si>
  <si>
    <t>Projetos de parques de estacionamento associados a interfaces modais que provoquem transferência modal (ex. micromobilidade, autocarros, comboio, metro, embarcações)</t>
  </si>
  <si>
    <t>Teixeira, J. et al. (2023)</t>
  </si>
  <si>
    <t>Passo I- Identificar a tipologia de projeto</t>
  </si>
  <si>
    <t>Identifcar a tipologia de projeto e aceder à(s) tabela(s) a preencher.</t>
  </si>
  <si>
    <t>Indique o tipo de embarcação elétrica</t>
  </si>
  <si>
    <t>Separador IC_todos os projetos; Tabela  IC2_Projetos de transporte rodoviário de passageiros</t>
  </si>
  <si>
    <t>Separador IC_todos os projetos;  Tabela IC1_Projetos de micromobilidade</t>
  </si>
  <si>
    <t>Separador IC_todos os projetos;  Tabela  IC3_Projetos de transporte ferroviário de passageiros</t>
  </si>
  <si>
    <t>Separador IC_todos os projetos; Tabela  IC4_Projetos de transporte de passageiros em vias navegáveis interiores</t>
  </si>
  <si>
    <t>Separador IC_todos os projetos; Tabela  IC5_Projetos de carregamento de veículos/navios/embarcações</t>
  </si>
  <si>
    <t>GEE_mobilidade FE</t>
  </si>
  <si>
    <r>
      <t xml:space="preserve">Transporte a </t>
    </r>
    <r>
      <rPr>
        <b/>
        <sz val="36"/>
        <rFont val="Aptos"/>
        <family val="2"/>
      </rPr>
      <t>ADQUIRIR</t>
    </r>
  </si>
  <si>
    <r>
      <t xml:space="preserve">Fator de Emissão do Transporte a </t>
    </r>
    <r>
      <rPr>
        <b/>
        <sz val="28"/>
        <color theme="0"/>
        <rFont val="Aptos"/>
        <family val="2"/>
      </rPr>
      <t>SUBSTITUIR</t>
    </r>
  </si>
  <si>
    <r>
      <t xml:space="preserve">Fator de Emissão do Transporte a </t>
    </r>
    <r>
      <rPr>
        <b/>
        <sz val="28"/>
        <color theme="0"/>
        <rFont val="Aptos"/>
        <family val="2"/>
      </rPr>
      <t>ADQUIRIR</t>
    </r>
  </si>
  <si>
    <r>
      <t xml:space="preserve">Tipo de transporte a </t>
    </r>
    <r>
      <rPr>
        <b/>
        <sz val="28"/>
        <color theme="1"/>
        <rFont val="Aptos"/>
        <family val="2"/>
      </rPr>
      <t>SUBSTITUIR</t>
    </r>
  </si>
  <si>
    <r>
      <t xml:space="preserve">Transporte a </t>
    </r>
    <r>
      <rPr>
        <b/>
        <sz val="28"/>
        <rFont val="Aptos"/>
        <family val="2"/>
      </rPr>
      <t>ADQUIRIR</t>
    </r>
  </si>
  <si>
    <r>
      <t xml:space="preserve">Autocarros a </t>
    </r>
    <r>
      <rPr>
        <b/>
        <sz val="36"/>
        <rFont val="Aptos"/>
        <family val="2"/>
      </rPr>
      <t>ADQUIRIR</t>
    </r>
  </si>
  <si>
    <r>
      <t xml:space="preserve">Designação do tipo transporte a </t>
    </r>
    <r>
      <rPr>
        <b/>
        <sz val="36"/>
        <color theme="1"/>
        <rFont val="Aptos"/>
        <family val="2"/>
      </rPr>
      <t>ADQUIRIR</t>
    </r>
  </si>
  <si>
    <r>
      <t xml:space="preserve">Frota de Navios/ Embarcações a </t>
    </r>
    <r>
      <rPr>
        <b/>
        <sz val="36"/>
        <rFont val="Aptos"/>
        <family val="2"/>
      </rPr>
      <t xml:space="preserve">ADQUIRIR </t>
    </r>
  </si>
  <si>
    <r>
      <t xml:space="preserve">Nº total de navios/embarcações a </t>
    </r>
    <r>
      <rPr>
        <b/>
        <sz val="28"/>
        <color theme="1"/>
        <rFont val="Aptos"/>
        <family val="2"/>
      </rPr>
      <t>SUBSTITUIR</t>
    </r>
  </si>
  <si>
    <r>
      <t xml:space="preserve">Nº total de veículo/embarcação a </t>
    </r>
    <r>
      <rPr>
        <b/>
        <sz val="28"/>
        <color theme="1"/>
        <rFont val="Aptos"/>
        <family val="2"/>
      </rPr>
      <t>SUBSTITUIR</t>
    </r>
  </si>
  <si>
    <t>Navios/ Embarcações elétricas</t>
  </si>
  <si>
    <r>
      <t xml:space="preserve">Nº total de comboios/ elétricos a </t>
    </r>
    <r>
      <rPr>
        <b/>
        <sz val="28"/>
        <color theme="1"/>
        <rFont val="Aptos"/>
        <family val="2"/>
      </rPr>
      <t>SUBSTITUIR</t>
    </r>
    <r>
      <rPr>
        <b/>
        <sz val="16"/>
        <color theme="1"/>
        <rFont val="Aptos"/>
        <family val="2"/>
      </rPr>
      <t xml:space="preserve"> </t>
    </r>
  </si>
  <si>
    <r>
      <t xml:space="preserve">Nº total de autocarros a </t>
    </r>
    <r>
      <rPr>
        <b/>
        <sz val="28"/>
        <color theme="1"/>
        <rFont val="Aptos"/>
        <family val="2"/>
      </rPr>
      <t xml:space="preserve">SUBSTITUIR </t>
    </r>
  </si>
  <si>
    <r>
      <t xml:space="preserve">Nº total de transporte a </t>
    </r>
    <r>
      <rPr>
        <b/>
        <sz val="28"/>
        <color theme="1"/>
        <rFont val="Aptos"/>
        <family val="2"/>
      </rPr>
      <t>SUBSTITUIR</t>
    </r>
  </si>
  <si>
    <r>
      <rPr>
        <b/>
        <sz val="14"/>
        <color theme="1"/>
        <rFont val="Aptos"/>
        <family val="2"/>
      </rPr>
      <t>Intensidade carbónica</t>
    </r>
    <r>
      <rPr>
        <sz val="14"/>
        <color theme="1"/>
        <rFont val="Aptos"/>
        <family val="2"/>
      </rPr>
      <t xml:space="preserve"> por                     pessoa-quilómetro</t>
    </r>
    <r>
      <rPr>
        <b/>
        <sz val="14"/>
        <color theme="1"/>
        <rFont val="Aptos"/>
        <family val="2"/>
      </rPr>
      <t xml:space="preserve"> (sem ProdT) </t>
    </r>
  </si>
  <si>
    <r>
      <t xml:space="preserve">1. Introduzir nas colunas abaixo a </t>
    </r>
    <r>
      <rPr>
        <b/>
        <sz val="14"/>
        <rFont val="Aptos"/>
        <family val="2"/>
      </rPr>
      <t>AZUL</t>
    </r>
    <r>
      <rPr>
        <sz val="14"/>
        <rFont val="Aptos"/>
        <family val="2"/>
      </rPr>
      <t xml:space="preserve"> os valores das transferências modais (% captação TM), quando aplicável.  </t>
    </r>
    <r>
      <rPr>
        <b/>
        <sz val="14"/>
        <rFont val="Aptos"/>
        <family val="2"/>
      </rPr>
      <t>Nota:</t>
    </r>
    <r>
      <rPr>
        <sz val="14"/>
        <rFont val="Aptos"/>
        <family val="2"/>
      </rPr>
      <t xml:space="preserve"> Introduzir apenas valores positivos.</t>
    </r>
  </si>
  <si>
    <t>Euros/ano</t>
  </si>
  <si>
    <t>Euros/ ano</t>
  </si>
  <si>
    <r>
      <t xml:space="preserve">Custo-Sombra </t>
    </r>
    <r>
      <rPr>
        <sz val="16"/>
        <color theme="1"/>
        <rFont val="Aptos"/>
        <family val="2"/>
      </rPr>
      <t xml:space="preserve">das emissões relativas </t>
    </r>
    <r>
      <rPr>
        <b/>
        <sz val="16"/>
        <color theme="1"/>
        <rFont val="Aptos"/>
        <family val="2"/>
      </rPr>
      <t xml:space="preserve"> </t>
    </r>
    <r>
      <rPr>
        <sz val="16"/>
        <color theme="1"/>
        <rFont val="Aptos"/>
        <family val="2"/>
      </rPr>
      <t>(Euros)</t>
    </r>
  </si>
  <si>
    <t>GEE_mobilidade: Calculadora GEE para projetos de mobilidade e transportes de passageiros</t>
  </si>
  <si>
    <t>2.Emissões Absolutas Totais do consumo de eletricidade no transporte elétrico em tCO2e/ano</t>
  </si>
  <si>
    <t xml:space="preserve">- Horizonte temporal da operação/exploração do projeto. </t>
  </si>
  <si>
    <t>Indicar o número de anos de utilização/exploração expectável do projeto.</t>
  </si>
  <si>
    <r>
      <rPr>
        <b/>
        <sz val="18"/>
        <color theme="1"/>
        <rFont val="Aptos"/>
        <family val="2"/>
      </rPr>
      <t xml:space="preserve">Tipo </t>
    </r>
    <r>
      <rPr>
        <sz val="18"/>
        <color theme="1"/>
        <rFont val="Aptos"/>
        <family val="2"/>
      </rPr>
      <t>de projeto</t>
    </r>
    <r>
      <rPr>
        <b/>
        <sz val="18"/>
        <rFont val="Aptos"/>
        <family val="2"/>
      </rPr>
      <t xml:space="preserve">                                                                                                                           </t>
    </r>
    <r>
      <rPr>
        <b/>
        <sz val="11"/>
        <color theme="5" tint="-0.249977111117893"/>
        <rFont val="Aptos"/>
        <family val="2"/>
      </rPr>
      <t>preenchimento obrigatório</t>
    </r>
  </si>
  <si>
    <r>
      <t>Ano do</t>
    </r>
    <r>
      <rPr>
        <b/>
        <sz val="18"/>
        <color theme="1"/>
        <rFont val="Aptos"/>
        <family val="2"/>
      </rPr>
      <t xml:space="preserve"> início da exploração</t>
    </r>
    <r>
      <rPr>
        <sz val="18"/>
        <color theme="1"/>
        <rFont val="Aptos"/>
        <family val="2"/>
      </rPr>
      <t xml:space="preserve"> do projeto</t>
    </r>
    <r>
      <rPr>
        <b/>
        <sz val="18"/>
        <rFont val="Aptos"/>
        <family val="2"/>
      </rPr>
      <t xml:space="preserve"> (ex. 2030)                                                     </t>
    </r>
    <r>
      <rPr>
        <b/>
        <sz val="11"/>
        <color theme="5" tint="-0.249977111117893"/>
        <rFont val="Aptos"/>
        <family val="2"/>
      </rPr>
      <t>preenchimento obrigatório</t>
    </r>
  </si>
  <si>
    <r>
      <rPr>
        <b/>
        <sz val="18"/>
        <color theme="1"/>
        <rFont val="Aptos"/>
        <family val="2"/>
      </rPr>
      <t>Horizonte Temporal da operação/ exploração do Projeto</t>
    </r>
    <r>
      <rPr>
        <b/>
        <sz val="18"/>
        <rFont val="Aptos"/>
        <family val="2"/>
      </rPr>
      <t xml:space="preserve"> (ex. 30 anos)                                      </t>
    </r>
    <r>
      <rPr>
        <b/>
        <sz val="11"/>
        <color rgb="FFC65911"/>
        <rFont val="Aptos"/>
        <family val="2"/>
      </rPr>
      <t xml:space="preserve">preenchimento obrigatório                        </t>
    </r>
    <r>
      <rPr>
        <b/>
        <sz val="18"/>
        <rFont val="Aptos"/>
        <family val="2"/>
      </rPr>
      <t xml:space="preserve">                            </t>
    </r>
  </si>
  <si>
    <r>
      <t xml:space="preserve">Nota: </t>
    </r>
    <r>
      <rPr>
        <sz val="16"/>
        <color theme="1"/>
        <rFont val="Aptos"/>
        <family val="2"/>
      </rPr>
      <t>O resultado obtido com recurso à</t>
    </r>
    <r>
      <rPr>
        <b/>
        <sz val="16"/>
        <color theme="1"/>
        <rFont val="Aptos"/>
        <family val="2"/>
      </rPr>
      <t xml:space="preserve"> calculadora A </t>
    </r>
    <r>
      <rPr>
        <sz val="16"/>
        <color theme="1"/>
        <rFont val="Aptos"/>
        <family val="2"/>
      </rPr>
      <t>tem de ser introduzido no campo dos fatores de emissão/ dados do projeto respetivo.</t>
    </r>
  </si>
  <si>
    <t>Nota 2</t>
  </si>
  <si>
    <t>A GEE_mobilidade disponibiliza Fatores de Emissão padrão no separador "Fatores de Emissão". Note-se que não podem ser utilizados os mesmos Fatores de Emissão no Transporte a Substituir e no Transporte a Adquirir.</t>
  </si>
  <si>
    <t>kg CO2e/   kWh</t>
  </si>
  <si>
    <t>kg CO2e/ p.km</t>
  </si>
  <si>
    <t>Nº km/ bicicleta/ ano</t>
  </si>
  <si>
    <t>Nº km/ veículo/ ano</t>
  </si>
  <si>
    <r>
      <rPr>
        <b/>
        <sz val="14"/>
        <color theme="1"/>
        <rFont val="Aptos"/>
        <family val="2"/>
      </rPr>
      <t>En: Emissões Absolutas</t>
    </r>
    <r>
      <rPr>
        <sz val="14"/>
        <color theme="1"/>
        <rFont val="Aptos"/>
        <family val="2"/>
      </rPr>
      <t xml:space="preserve"> do consumo de eletricidade (transporte elétrico)</t>
    </r>
    <r>
      <rPr>
        <b/>
        <sz val="14"/>
        <color theme="1"/>
        <rFont val="Aptos"/>
        <family val="2"/>
      </rPr>
      <t xml:space="preserve"> </t>
    </r>
  </si>
  <si>
    <r>
      <rPr>
        <b/>
        <sz val="14"/>
        <color theme="1"/>
        <rFont val="Aptos"/>
        <family val="2"/>
      </rPr>
      <t>Emissões Absolutas</t>
    </r>
    <r>
      <rPr>
        <sz val="14"/>
        <color theme="1"/>
        <rFont val="Aptos"/>
        <family val="2"/>
      </rPr>
      <t xml:space="preserve"> do consumo eletricidade</t>
    </r>
    <r>
      <rPr>
        <b/>
        <sz val="14"/>
        <color theme="1"/>
        <rFont val="Aptos"/>
        <family val="2"/>
      </rPr>
      <t xml:space="preserve">  (sem ProdT) </t>
    </r>
  </si>
  <si>
    <r>
      <rPr>
        <b/>
        <sz val="14"/>
        <color theme="1"/>
        <rFont val="Aptos"/>
        <family val="2"/>
      </rPr>
      <t>Emissões Absolutas</t>
    </r>
    <r>
      <rPr>
        <sz val="14"/>
        <color theme="1"/>
        <rFont val="Aptos"/>
        <family val="2"/>
      </rPr>
      <t xml:space="preserve"> do consumo de eletricidade</t>
    </r>
    <r>
      <rPr>
        <b/>
        <sz val="14"/>
        <color theme="1"/>
        <rFont val="Aptos"/>
        <family val="2"/>
      </rPr>
      <t xml:space="preserve">  (sem ProdT) </t>
    </r>
  </si>
  <si>
    <t>Veículo Elétrico ligeiro de passageiros</t>
  </si>
  <si>
    <t>Carro médio (eletricidade) - bateria iões de lítio</t>
  </si>
  <si>
    <t>Carro médio (eletricidade) - híbrido Plug In</t>
  </si>
  <si>
    <t>Trotineta elétrica partilhada</t>
  </si>
  <si>
    <t>Trotineta elétrica privada</t>
  </si>
  <si>
    <t>Ciclomotores (vespas) elétricas</t>
  </si>
  <si>
    <t>Bicicleta elétrica</t>
  </si>
  <si>
    <t>Minibus elétrico- bateria- iões de litio (&lt;40 passageiros)</t>
  </si>
  <si>
    <t>Standard- elétrico a bateria - iões de litio (&lt; 85 passageiros)</t>
  </si>
  <si>
    <t>Standard - elétrico a hidrogénio fuel cell (&lt;85 passageiros)</t>
  </si>
  <si>
    <t>Articulado/ BRT - elétrico a bateria de iões de litio (&lt;130 passageiros)</t>
  </si>
  <si>
    <t>Articulado/ BRT - elétrico a hidrogénio - fuel cell (&lt;130 passageiros)</t>
  </si>
  <si>
    <t>Carris Elétricos (&lt;58 passageiros)</t>
  </si>
  <si>
    <t>2023 (FE eletricidade)</t>
  </si>
  <si>
    <t>Bicicleta não elétrica</t>
  </si>
  <si>
    <t>APA, NIR (2022),  não publicado</t>
  </si>
  <si>
    <r>
      <rPr>
        <b/>
        <sz val="14"/>
        <color theme="1"/>
        <rFont val="Aptos"/>
        <family val="2"/>
      </rPr>
      <t>Intensidade carbónica</t>
    </r>
    <r>
      <rPr>
        <sz val="14"/>
        <color theme="1"/>
        <rFont val="Aptos"/>
        <family val="2"/>
      </rPr>
      <t xml:space="preserve"> por veículo-quilómetro</t>
    </r>
    <r>
      <rPr>
        <b/>
        <sz val="14"/>
        <color theme="1"/>
        <rFont val="Aptos"/>
        <family val="2"/>
      </rPr>
      <t xml:space="preserve"> (sem ProdT) </t>
    </r>
  </si>
  <si>
    <t>Consumo anual de eletricidade, num ano típico de funcionamento</t>
  </si>
  <si>
    <r>
      <rPr>
        <b/>
        <sz val="14"/>
        <color theme="1"/>
        <rFont val="Aptos"/>
        <family val="2"/>
      </rPr>
      <t>Intensidade carbónica</t>
    </r>
    <r>
      <rPr>
        <sz val="14"/>
        <color theme="1"/>
        <rFont val="Aptos"/>
        <family val="2"/>
      </rPr>
      <t xml:space="preserve"> </t>
    </r>
    <r>
      <rPr>
        <b/>
        <sz val="14"/>
        <color theme="1"/>
        <rFont val="Aptos"/>
        <family val="2"/>
      </rPr>
      <t xml:space="preserve"> </t>
    </r>
    <r>
      <rPr>
        <sz val="14"/>
        <color theme="1"/>
        <rFont val="Aptos"/>
        <family val="2"/>
      </rPr>
      <t>por veículo-quilómetro</t>
    </r>
    <r>
      <rPr>
        <b/>
        <sz val="14"/>
        <color theme="1"/>
        <rFont val="Aptos"/>
        <family val="2"/>
      </rPr>
      <t xml:space="preserve"> (sem ProdT) </t>
    </r>
  </si>
  <si>
    <r>
      <rPr>
        <b/>
        <sz val="14"/>
        <color theme="1"/>
        <rFont val="Aptos"/>
        <family val="2"/>
      </rPr>
      <t>Intensidade carbónica</t>
    </r>
    <r>
      <rPr>
        <sz val="14"/>
        <color theme="1"/>
        <rFont val="Aptos"/>
        <family val="2"/>
      </rPr>
      <t xml:space="preserve"> por pessoa-quilómetro</t>
    </r>
    <r>
      <rPr>
        <b/>
        <sz val="14"/>
        <color theme="1"/>
        <rFont val="Aptos"/>
        <family val="2"/>
      </rPr>
      <t xml:space="preserve"> (sem ProdT) </t>
    </r>
  </si>
  <si>
    <r>
      <rPr>
        <b/>
        <sz val="14"/>
        <color theme="1"/>
        <rFont val="Aptos"/>
        <family val="2"/>
      </rPr>
      <t>Intensidade carbónica</t>
    </r>
    <r>
      <rPr>
        <sz val="14"/>
        <color theme="1"/>
        <rFont val="Aptos"/>
        <family val="2"/>
      </rPr>
      <t xml:space="preserve"> por comboio/veículo-quilómetro</t>
    </r>
    <r>
      <rPr>
        <b/>
        <sz val="14"/>
        <color theme="1"/>
        <rFont val="Aptos"/>
        <family val="2"/>
      </rPr>
      <t xml:space="preserve"> (sem ProdT) </t>
    </r>
  </si>
  <si>
    <r>
      <rPr>
        <b/>
        <sz val="14"/>
        <color theme="1"/>
        <rFont val="Aptos"/>
        <family val="2"/>
      </rPr>
      <t>Intensidade carbónica</t>
    </r>
    <r>
      <rPr>
        <sz val="14"/>
        <color theme="1"/>
        <rFont val="Aptos"/>
        <family val="2"/>
      </rPr>
      <t xml:space="preserve">  por pessoa-quilómetro </t>
    </r>
    <r>
      <rPr>
        <b/>
        <sz val="14"/>
        <color theme="1"/>
        <rFont val="Aptos"/>
        <family val="2"/>
      </rPr>
      <t xml:space="preserve">(sem ProdT) </t>
    </r>
  </si>
  <si>
    <r>
      <rPr>
        <b/>
        <sz val="14"/>
        <rFont val="Aptos"/>
        <family val="2"/>
      </rPr>
      <t>Nota 3:</t>
    </r>
    <r>
      <rPr>
        <sz val="14"/>
        <rFont val="Aptos"/>
        <family val="2"/>
      </rPr>
      <t xml:space="preserve"> Para utilizar o fator de emissão de navios/embarcações (gasóleo) consultar o separador "Fatores de emissão". Este fator de emissão, ou fatores de emissão específicos do navio/embarcação, podem ser introduzidos em "Outros navios/embarcações".</t>
    </r>
  </si>
  <si>
    <r>
      <rPr>
        <b/>
        <sz val="14"/>
        <color theme="1"/>
        <rFont val="Aptos"/>
        <family val="2"/>
      </rPr>
      <t xml:space="preserve">Intensidade carbónica </t>
    </r>
    <r>
      <rPr>
        <sz val="14"/>
        <color theme="1"/>
        <rFont val="Aptos"/>
        <family val="2"/>
      </rPr>
      <t xml:space="preserve">por pessoa-quilómetro </t>
    </r>
    <r>
      <rPr>
        <b/>
        <sz val="14"/>
        <color theme="1"/>
        <rFont val="Aptos"/>
        <family val="2"/>
      </rPr>
      <t xml:space="preserve">(sem ProdT) </t>
    </r>
  </si>
  <si>
    <t>Navio/embarcação elétrica</t>
  </si>
  <si>
    <t>3. Recomenda-se a utilização do fator de emissão de eletricidade (Rede Nacional) mais próximo do ano típico de funcionamento do projeto (i.e. ano típico (médio)= n+2 em que "n" é o ano de ínicio de operação do projeto). O fator de emissão de eletricidade (Rede Nacional)  pode ser consultado no portal da Agência Portuguesa do Ambiente.</t>
  </si>
  <si>
    <r>
      <rPr>
        <b/>
        <sz val="14"/>
        <rFont val="Aptos"/>
        <family val="2"/>
      </rPr>
      <t xml:space="preserve">Outros consumos de eletricidade: </t>
    </r>
    <r>
      <rPr>
        <sz val="14"/>
        <rFont val="Aptos"/>
        <family val="2"/>
      </rPr>
      <t>Consumo anual de eletricidade (ex. iluminação; equipamentos associados ao parque de estacionamento) num ano típico de funcionamento (i.e. ano típico (ano médio)= n+2 em que "n" é o ano de ínicio de operação do projeto)</t>
    </r>
  </si>
  <si>
    <t>AAAA</t>
  </si>
  <si>
    <t>AA</t>
  </si>
  <si>
    <r>
      <t xml:space="preserve">2. Selecionar uma opção:                                                                                                                                                                                                                     </t>
    </r>
    <r>
      <rPr>
        <b/>
        <sz val="14"/>
        <rFont val="Aptos"/>
        <family val="2"/>
      </rPr>
      <t xml:space="preserve">I- % tipologia automóvel (utilizador)                                                                                                                                                                                             II- % tipologia automóvel (padrão)  </t>
    </r>
    <r>
      <rPr>
        <sz val="14"/>
        <rFont val="Aptos"/>
        <family val="2"/>
      </rPr>
      <t xml:space="preserve">                                                                                                                                                                                    Caso a </t>
    </r>
    <r>
      <rPr>
        <b/>
        <sz val="14"/>
        <rFont val="Aptos"/>
        <family val="2"/>
      </rPr>
      <t>"Opção I"</t>
    </r>
    <r>
      <rPr>
        <sz val="14"/>
        <rFont val="Aptos"/>
        <family val="2"/>
      </rPr>
      <t xml:space="preserve"> tenha sido selecionada, preencher as tabelas de </t>
    </r>
    <r>
      <rPr>
        <b/>
        <sz val="14"/>
        <rFont val="Aptos"/>
        <family val="2"/>
      </rPr>
      <t xml:space="preserve">"D.1 Tipologia automóvel (utilizador)". Caso esteja a ser utilizado "Outro tipo de veículo" apenas a opção I deve ser selecionada.  </t>
    </r>
    <r>
      <rPr>
        <sz val="14"/>
        <rFont val="Aptos"/>
        <family val="2"/>
      </rPr>
      <t xml:space="preserve">                                                                                                                                                                                   Caso a </t>
    </r>
    <r>
      <rPr>
        <b/>
        <sz val="14"/>
        <rFont val="Aptos"/>
        <family val="2"/>
      </rPr>
      <t xml:space="preserve">"Opção II" </t>
    </r>
    <r>
      <rPr>
        <sz val="14"/>
        <rFont val="Aptos"/>
        <family val="2"/>
      </rPr>
      <t>tenha sido selecionada, ir para o ponto</t>
    </r>
    <r>
      <rPr>
        <b/>
        <sz val="14"/>
        <rFont val="Aptos"/>
        <family val="2"/>
      </rPr>
      <t xml:space="preserve"> 2. Dados relativos às transferências modais.  </t>
    </r>
  </si>
  <si>
    <t>AMT (2022) LINHAS DE ORIENTAÇÃO SOBRE A REGULAÇÃO DA MICROMOBILIDADE PARTILHADA. Novos modos de transporte: Do caos à regulação. Pg. 18</t>
  </si>
  <si>
    <t>Janeiro de 2026</t>
  </si>
  <si>
    <t>Autoriade de Gestão do programa Sustentável 2030</t>
  </si>
  <si>
    <t>Quaisquer questões relacionadas com a GEE-PinfraRC devem ser colocadas à linha de apoio da respetiva Autoridade de Gestão do fundo a que se candidata.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</si>
</sst>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quot;€&quot;_-;\-* #,##0.00\ &quot;€&quot;_-;_-* &quot;-&quot;??\ &quot;€&quot;_-;_-@_-"/>
    <numFmt numFmtId="165" formatCode="_(* #,##0.00_);_(* \(#,##0.00\);_(* &quot;-&quot;??_);_(@_)"/>
    <numFmt numFmtId="166" formatCode="0.000"/>
    <numFmt numFmtId="167" formatCode="#,##0.000"/>
    <numFmt numFmtId="168" formatCode="_(* #,##0.0_);_(* \(#,##0.0\);_(&quot;-&quot;_);_(@_)"/>
    <numFmt numFmtId="169" formatCode="0.0"/>
    <numFmt numFmtId="170" formatCode="0.0E+00"/>
    <numFmt numFmtId="171" formatCode="#,##0.0"/>
    <numFmt numFmtId="172" formatCode="0.000000"/>
    <numFmt numFmtId="173" formatCode="_-* #,##0.00\ _€_-;\-* #,##0.00\ _€_-;_-* &quot;-&quot;??\ _€_-;_-@_-"/>
    <numFmt numFmtId="174" formatCode="0.0%"/>
    <numFmt numFmtId="175" formatCode="0.00000"/>
    <numFmt numFmtId="176" formatCode="0.0000"/>
    <numFmt numFmtId="177" formatCode="#,##0.000_ ;\-#,##0.000\ "/>
    <numFmt numFmtId="178" formatCode="#,##0.00\ &quot;€&quot;"/>
    <numFmt numFmtId="179" formatCode="0.0000000"/>
    <numFmt numFmtId="180" formatCode="0.000E+00"/>
    <numFmt numFmtId="181" formatCode="#,##0.00000"/>
  </numFmts>
  <fonts count="242" x14ac:knownFonts="1">
    <font>
      <sz val="11"/>
      <color theme="1"/>
      <name val="Calibri"/>
      <family val="2"/>
      <scheme val="minor"/>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b/>
      <sz val="11"/>
      <color theme="1"/>
      <name val="Calibri"/>
      <family val="2"/>
      <scheme val="minor"/>
    </font>
    <font>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4"/>
      <color theme="1"/>
      <name val="Calibri"/>
      <family val="2"/>
      <scheme val="minor"/>
    </font>
    <font>
      <b/>
      <sz val="11"/>
      <color theme="0"/>
      <name val="Calibri"/>
      <family val="2"/>
      <scheme val="minor"/>
    </font>
    <font>
      <sz val="9"/>
      <color indexed="81"/>
      <name val="Tahoma"/>
      <family val="2"/>
    </font>
    <font>
      <i/>
      <sz val="10"/>
      <color indexed="10"/>
      <name val="Arial"/>
      <family val="2"/>
    </font>
    <font>
      <sz val="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b/>
      <sz val="9"/>
      <color indexed="81"/>
      <name val="Tahoma"/>
      <family val="2"/>
    </font>
    <font>
      <b/>
      <sz val="12"/>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12"/>
      <color theme="8"/>
      <name val="Calibri"/>
      <family val="2"/>
      <scheme val="minor"/>
    </font>
    <font>
      <b/>
      <sz val="12"/>
      <color theme="0"/>
      <name val="Calibri"/>
      <family val="2"/>
      <scheme val="minor"/>
    </font>
    <font>
      <i/>
      <sz val="12"/>
      <name val="Calibri"/>
      <family val="2"/>
      <scheme val="minor"/>
    </font>
    <font>
      <b/>
      <i/>
      <sz val="14"/>
      <name val="Calibri"/>
      <family val="2"/>
      <scheme val="minor"/>
    </font>
    <font>
      <b/>
      <sz val="14"/>
      <name val="Calibri"/>
      <family val="2"/>
      <scheme val="minor"/>
    </font>
    <font>
      <sz val="14"/>
      <color theme="1"/>
      <name val="Calibri"/>
      <family val="2"/>
      <scheme val="minor"/>
    </font>
    <font>
      <b/>
      <sz val="12"/>
      <color indexed="10"/>
      <name val="Calibri"/>
      <family val="2"/>
      <scheme val="minor"/>
    </font>
    <font>
      <u/>
      <sz val="8"/>
      <color theme="10"/>
      <name val="Calibri"/>
      <family val="2"/>
      <scheme val="minor"/>
    </font>
    <font>
      <b/>
      <sz val="11"/>
      <color theme="1"/>
      <name val="Aptos"/>
      <family val="2"/>
    </font>
    <font>
      <sz val="11"/>
      <color theme="1"/>
      <name val="Aptos"/>
      <family val="2"/>
    </font>
    <font>
      <b/>
      <sz val="12"/>
      <name val="Aptos"/>
      <family val="2"/>
    </font>
    <font>
      <b/>
      <sz val="12"/>
      <color theme="1"/>
      <name val="Aptos"/>
      <family val="2"/>
    </font>
    <font>
      <sz val="11"/>
      <color rgb="FFFF0000"/>
      <name val="Calibri"/>
      <family val="2"/>
      <scheme val="minor"/>
    </font>
    <font>
      <b/>
      <i/>
      <sz val="18"/>
      <color rgb="FF01635E"/>
      <name val="Calibri"/>
      <family val="2"/>
      <scheme val="minor"/>
    </font>
    <font>
      <sz val="48"/>
      <color theme="0"/>
      <name val="Calibri"/>
      <family val="2"/>
      <scheme val="minor"/>
    </font>
    <font>
      <b/>
      <sz val="48"/>
      <color theme="0"/>
      <name val="Aptos"/>
      <family val="2"/>
    </font>
    <font>
      <sz val="12"/>
      <color theme="1"/>
      <name val="Aptos"/>
      <family val="2"/>
    </font>
    <font>
      <vertAlign val="subscript"/>
      <sz val="12"/>
      <color theme="1"/>
      <name val="Aptos"/>
      <family val="2"/>
    </font>
    <font>
      <sz val="11"/>
      <color theme="0"/>
      <name val="Aptos"/>
      <family val="2"/>
    </font>
    <font>
      <sz val="36"/>
      <color theme="0"/>
      <name val="Aptos"/>
      <family val="2"/>
    </font>
    <font>
      <sz val="30"/>
      <color theme="0"/>
      <name val="Aptos"/>
      <family val="2"/>
    </font>
    <font>
      <sz val="12"/>
      <name val="Aptos"/>
      <family val="2"/>
    </font>
    <font>
      <b/>
      <sz val="14"/>
      <name val="Aptos"/>
      <family val="2"/>
    </font>
    <font>
      <sz val="14"/>
      <name val="Aptos"/>
      <family val="2"/>
    </font>
    <font>
      <b/>
      <sz val="14"/>
      <color theme="0"/>
      <name val="Aptos"/>
      <family val="2"/>
    </font>
    <font>
      <b/>
      <sz val="14"/>
      <color theme="1"/>
      <name val="Aptos"/>
      <family val="2"/>
    </font>
    <font>
      <vertAlign val="subscript"/>
      <sz val="14"/>
      <name val="Aptos"/>
      <family val="2"/>
    </font>
    <font>
      <sz val="11"/>
      <color rgb="FFEE0000"/>
      <name val="Aptos"/>
      <family val="2"/>
    </font>
    <font>
      <b/>
      <sz val="8"/>
      <color theme="1"/>
      <name val="Aptos"/>
      <family val="2"/>
    </font>
    <font>
      <sz val="18"/>
      <color theme="0"/>
      <name val="Aptos"/>
      <family val="2"/>
    </font>
    <font>
      <b/>
      <sz val="20"/>
      <color theme="1"/>
      <name val="Aptos"/>
      <family val="2"/>
    </font>
    <font>
      <b/>
      <sz val="13"/>
      <color theme="1"/>
      <name val="Aptos"/>
      <family val="2"/>
    </font>
    <font>
      <u/>
      <sz val="10"/>
      <color theme="10"/>
      <name val="Arial"/>
      <family val="2"/>
    </font>
    <font>
      <sz val="8"/>
      <name val="Arial"/>
      <family val="2"/>
    </font>
    <font>
      <sz val="10"/>
      <name val="MS Sans Serif"/>
      <family val="2"/>
    </font>
    <font>
      <b/>
      <sz val="8"/>
      <name val="Times New Roman"/>
      <family val="1"/>
    </font>
    <font>
      <sz val="8"/>
      <name val="Times New Roman"/>
      <family val="1"/>
    </font>
    <font>
      <u/>
      <sz val="10"/>
      <color indexed="58"/>
      <name val="Arial"/>
      <family val="2"/>
    </font>
    <font>
      <sz val="12"/>
      <name val="Helv"/>
    </font>
    <font>
      <b/>
      <sz val="16"/>
      <name val="Times New Roman"/>
      <family val="1"/>
    </font>
    <font>
      <sz val="9"/>
      <name val="Tahoma"/>
      <family val="2"/>
    </font>
    <font>
      <u/>
      <sz val="10"/>
      <color indexed="12"/>
      <name val="Arial"/>
      <family val="2"/>
    </font>
    <font>
      <sz val="10"/>
      <color theme="1"/>
      <name val="Arial"/>
      <family val="2"/>
    </font>
    <font>
      <u/>
      <sz val="11"/>
      <color theme="10"/>
      <name val="Calibri"/>
      <family val="2"/>
    </font>
    <font>
      <sz val="9"/>
      <color indexed="81"/>
      <name val="Tahoma"/>
      <charset val="1"/>
    </font>
    <font>
      <b/>
      <sz val="9"/>
      <color indexed="81"/>
      <name val="Tahoma"/>
      <charset val="1"/>
    </font>
    <font>
      <b/>
      <u/>
      <sz val="11"/>
      <color theme="1"/>
      <name val="Aptos"/>
      <family val="2"/>
    </font>
    <font>
      <i/>
      <sz val="13"/>
      <color theme="5" tint="-0.499984740745262"/>
      <name val="Aptos"/>
      <family val="2"/>
    </font>
    <font>
      <b/>
      <sz val="18"/>
      <color theme="1"/>
      <name val="Aptos"/>
      <family val="2"/>
    </font>
    <font>
      <b/>
      <sz val="8"/>
      <color theme="1"/>
      <name val="Calibri"/>
      <family val="2"/>
      <scheme val="minor"/>
    </font>
    <font>
      <sz val="8"/>
      <color theme="1"/>
      <name val="Calibri"/>
      <family val="2"/>
      <scheme val="minor"/>
    </font>
    <font>
      <sz val="8"/>
      <color theme="1"/>
      <name val="Aptos"/>
      <family val="2"/>
    </font>
    <font>
      <b/>
      <sz val="12"/>
      <color theme="0"/>
      <name val="Aptos"/>
      <family val="2"/>
    </font>
    <font>
      <b/>
      <sz val="20"/>
      <color rgb="FF993300"/>
      <name val="Aptos"/>
      <family val="2"/>
    </font>
    <font>
      <b/>
      <sz val="10"/>
      <color theme="0"/>
      <name val="Calibri"/>
      <family val="2"/>
      <scheme val="minor"/>
    </font>
    <font>
      <sz val="10"/>
      <color theme="0"/>
      <name val="Calibri"/>
      <family val="2"/>
      <scheme val="minor"/>
    </font>
    <font>
      <b/>
      <sz val="8"/>
      <color theme="0"/>
      <name val="Calibri"/>
      <family val="2"/>
      <scheme val="minor"/>
    </font>
    <font>
      <b/>
      <sz val="11"/>
      <color theme="0"/>
      <name val="Aptos"/>
      <family val="2"/>
    </font>
    <font>
      <sz val="20"/>
      <color theme="0"/>
      <name val="Aptos"/>
      <family val="2"/>
    </font>
    <font>
      <sz val="14"/>
      <color theme="1"/>
      <name val="Aptos"/>
      <family val="2"/>
    </font>
    <font>
      <sz val="14"/>
      <color rgb="FF993300"/>
      <name val="Aptos"/>
      <family val="2"/>
    </font>
    <font>
      <b/>
      <vertAlign val="subscript"/>
      <sz val="12"/>
      <color theme="0"/>
      <name val="Aptos"/>
      <family val="2"/>
    </font>
    <font>
      <b/>
      <sz val="10"/>
      <color theme="1"/>
      <name val="Aptos"/>
      <family val="2"/>
    </font>
    <font>
      <b/>
      <sz val="9"/>
      <color theme="1"/>
      <name val="Calibri"/>
      <family val="2"/>
      <scheme val="minor"/>
    </font>
    <font>
      <sz val="20"/>
      <color theme="1"/>
      <name val="Aptos"/>
      <family val="2"/>
    </font>
    <font>
      <sz val="10"/>
      <name val="Calibri"/>
      <family val="2"/>
      <scheme val="minor"/>
    </font>
    <font>
      <b/>
      <sz val="10"/>
      <name val="Calibri"/>
      <family val="2"/>
      <scheme val="minor"/>
    </font>
    <font>
      <i/>
      <sz val="9"/>
      <color indexed="81"/>
      <name val="Tahoma"/>
      <family val="2"/>
    </font>
    <font>
      <sz val="18"/>
      <color theme="0"/>
      <name val="Calibri"/>
      <family val="2"/>
      <scheme val="minor"/>
    </font>
    <font>
      <b/>
      <sz val="18"/>
      <color theme="0"/>
      <name val="Calibri"/>
      <family val="2"/>
      <scheme val="minor"/>
    </font>
    <font>
      <b/>
      <sz val="20"/>
      <color theme="1"/>
      <name val="Calibri"/>
      <family val="2"/>
      <scheme val="minor"/>
    </font>
    <font>
      <b/>
      <sz val="14"/>
      <color rgb="FFFF0000"/>
      <name val="Aptos"/>
      <family val="2"/>
    </font>
    <font>
      <sz val="11"/>
      <color rgb="FFFF0000"/>
      <name val="Aptos"/>
      <family val="2"/>
    </font>
    <font>
      <sz val="10"/>
      <color rgb="FFFF0000"/>
      <name val="Calibri"/>
      <family val="2"/>
      <scheme val="minor"/>
    </font>
    <font>
      <b/>
      <sz val="11"/>
      <color rgb="FFFF9797"/>
      <name val="Aptos"/>
      <family val="2"/>
    </font>
    <font>
      <b/>
      <sz val="10"/>
      <color rgb="FFFF9797"/>
      <name val="Aptos"/>
      <family val="2"/>
    </font>
    <font>
      <b/>
      <sz val="24"/>
      <name val="Calibri"/>
      <family val="2"/>
      <scheme val="minor"/>
    </font>
    <font>
      <b/>
      <sz val="16"/>
      <color theme="0"/>
      <name val="Aptos"/>
      <family val="2"/>
    </font>
    <font>
      <b/>
      <sz val="13"/>
      <color theme="1"/>
      <name val="Calibri"/>
      <family val="2"/>
      <scheme val="minor"/>
    </font>
    <font>
      <b/>
      <sz val="12"/>
      <color rgb="FFFFFF8B"/>
      <name val="Aptos"/>
      <family val="2"/>
    </font>
    <font>
      <b/>
      <u/>
      <sz val="8"/>
      <color theme="1"/>
      <name val="Aptos"/>
      <family val="2"/>
    </font>
    <font>
      <b/>
      <sz val="8"/>
      <name val="Calibri"/>
      <family val="2"/>
      <scheme val="minor"/>
    </font>
    <font>
      <sz val="18"/>
      <color theme="1"/>
      <name val="Aptos"/>
      <family val="2"/>
    </font>
    <font>
      <b/>
      <sz val="18"/>
      <name val="Aptos"/>
      <family val="2"/>
    </font>
    <font>
      <b/>
      <sz val="24"/>
      <color theme="0"/>
      <name val="Aptos"/>
      <family val="2"/>
    </font>
    <font>
      <b/>
      <sz val="24"/>
      <color theme="1"/>
      <name val="Aptos"/>
      <family val="2"/>
    </font>
    <font>
      <vertAlign val="subscript"/>
      <sz val="14"/>
      <color theme="1"/>
      <name val="Aptos"/>
      <family val="2"/>
    </font>
    <font>
      <b/>
      <sz val="18"/>
      <color theme="0"/>
      <name val="Aptos"/>
      <family val="2"/>
    </font>
    <font>
      <sz val="16"/>
      <color theme="1"/>
      <name val="Aptos"/>
      <family val="2"/>
    </font>
    <font>
      <sz val="17"/>
      <color theme="1"/>
      <name val="Calibri"/>
      <family val="2"/>
      <scheme val="minor"/>
    </font>
    <font>
      <b/>
      <sz val="17"/>
      <color theme="0"/>
      <name val="Aptos"/>
      <family val="2"/>
    </font>
    <font>
      <sz val="17"/>
      <color theme="1"/>
      <name val="Aptos"/>
      <family val="2"/>
    </font>
    <font>
      <b/>
      <sz val="17"/>
      <color theme="1"/>
      <name val="Calibri"/>
      <family val="2"/>
      <scheme val="minor"/>
    </font>
    <font>
      <sz val="24"/>
      <color theme="0"/>
      <name val="Aptos"/>
      <family val="2"/>
    </font>
    <font>
      <b/>
      <sz val="16"/>
      <color theme="1"/>
      <name val="Aptos"/>
      <family val="2"/>
    </font>
    <font>
      <sz val="18"/>
      <name val="Aptos"/>
      <family val="2"/>
    </font>
    <font>
      <sz val="14"/>
      <color rgb="FFEE0000"/>
      <name val="Aptos"/>
      <family val="2"/>
    </font>
    <font>
      <b/>
      <vertAlign val="subscript"/>
      <sz val="14"/>
      <color theme="1"/>
      <name val="Aptos"/>
      <family val="2"/>
    </font>
    <font>
      <sz val="16"/>
      <name val="Aptos"/>
      <family val="2"/>
    </font>
    <font>
      <sz val="16"/>
      <color theme="1"/>
      <name val="Calibri"/>
      <family val="2"/>
      <scheme val="minor"/>
    </font>
    <font>
      <b/>
      <u/>
      <sz val="14"/>
      <color theme="1"/>
      <name val="Aptos"/>
      <family val="2"/>
    </font>
    <font>
      <b/>
      <i/>
      <sz val="17"/>
      <color theme="0"/>
      <name val="Aptos"/>
      <family val="2"/>
    </font>
    <font>
      <i/>
      <sz val="14"/>
      <color theme="1"/>
      <name val="Aptos"/>
      <family val="2"/>
    </font>
    <font>
      <i/>
      <sz val="16"/>
      <color theme="1"/>
      <name val="Aptos"/>
      <family val="2"/>
    </font>
    <font>
      <i/>
      <sz val="17"/>
      <color theme="1"/>
      <name val="Aptos"/>
      <family val="2"/>
    </font>
    <font>
      <i/>
      <sz val="17"/>
      <color theme="1"/>
      <name val="Calibri"/>
      <family val="2"/>
      <scheme val="minor"/>
    </font>
    <font>
      <b/>
      <sz val="48"/>
      <color rgb="FF014744"/>
      <name val="Aptos"/>
      <family val="2"/>
    </font>
    <font>
      <sz val="11"/>
      <color rgb="FF014744"/>
      <name val="Calibri"/>
      <family val="2"/>
      <scheme val="minor"/>
    </font>
    <font>
      <u/>
      <sz val="11"/>
      <color theme="10"/>
      <name val="Aptos"/>
      <family val="2"/>
    </font>
    <font>
      <b/>
      <sz val="12"/>
      <color theme="0" tint="-4.9989318521683403E-2"/>
      <name val="Aptos"/>
      <family val="2"/>
    </font>
    <font>
      <b/>
      <vertAlign val="subscript"/>
      <sz val="12"/>
      <color theme="0" tint="-4.9989318521683403E-2"/>
      <name val="Aptos"/>
      <family val="2"/>
    </font>
    <font>
      <sz val="11"/>
      <name val="Aptos"/>
      <family val="2"/>
    </font>
    <font>
      <b/>
      <i/>
      <sz val="14"/>
      <name val="Aptos"/>
      <family val="2"/>
    </font>
    <font>
      <b/>
      <i/>
      <sz val="12"/>
      <name val="Aptos"/>
      <family val="2"/>
    </font>
    <font>
      <b/>
      <sz val="12"/>
      <color indexed="50"/>
      <name val="Aptos"/>
      <family val="2"/>
    </font>
    <font>
      <i/>
      <sz val="12"/>
      <color theme="1"/>
      <name val="Aptos"/>
      <family val="2"/>
    </font>
    <font>
      <u/>
      <sz val="14"/>
      <color theme="1"/>
      <name val="Aptos"/>
      <family val="2"/>
    </font>
    <font>
      <b/>
      <sz val="9"/>
      <color theme="0"/>
      <name val="Calibri"/>
      <family val="2"/>
      <scheme val="minor"/>
    </font>
    <font>
      <b/>
      <sz val="20"/>
      <name val="Calibri"/>
      <family val="2"/>
      <scheme val="minor"/>
    </font>
    <font>
      <b/>
      <sz val="20"/>
      <color theme="0"/>
      <name val="Aptos"/>
      <family val="2"/>
    </font>
    <font>
      <b/>
      <sz val="10"/>
      <color theme="0"/>
      <name val="Aptos"/>
      <family val="2"/>
    </font>
    <font>
      <sz val="10"/>
      <color theme="1"/>
      <name val="Aptos"/>
      <family val="2"/>
    </font>
    <font>
      <sz val="26"/>
      <color theme="0"/>
      <name val="Aptos"/>
      <family val="2"/>
    </font>
    <font>
      <b/>
      <sz val="18"/>
      <color theme="1"/>
      <name val="Calibri"/>
      <family val="2"/>
      <scheme val="minor"/>
    </font>
    <font>
      <sz val="12"/>
      <color rgb="FFFFFF8B"/>
      <name val="Aptos"/>
      <family val="2"/>
    </font>
    <font>
      <i/>
      <sz val="12"/>
      <name val="Aptos"/>
      <family val="2"/>
    </font>
    <font>
      <b/>
      <sz val="14"/>
      <color rgb="FFFFFF00"/>
      <name val="Aptos"/>
      <family val="2"/>
    </font>
    <font>
      <b/>
      <sz val="11"/>
      <color theme="5" tint="-0.249977111117893"/>
      <name val="Aptos"/>
      <family val="2"/>
    </font>
    <font>
      <sz val="18"/>
      <color rgb="FF993300"/>
      <name val="Aptos"/>
      <family val="2"/>
    </font>
    <font>
      <b/>
      <sz val="10"/>
      <name val="Aptos"/>
      <family val="2"/>
    </font>
    <font>
      <sz val="12"/>
      <name val="Roboto Light"/>
    </font>
    <font>
      <sz val="12"/>
      <name val="Roboto"/>
    </font>
    <font>
      <b/>
      <sz val="12"/>
      <color theme="6" tint="-0.249977111117893"/>
      <name val="Roboto Light"/>
    </font>
    <font>
      <b/>
      <sz val="14"/>
      <name val="Roboto Light"/>
    </font>
    <font>
      <u/>
      <sz val="12"/>
      <color theme="2" tint="-0.89999084444715716"/>
      <name val="Roboto Light"/>
    </font>
    <font>
      <sz val="10"/>
      <name val="Roboto Light"/>
    </font>
    <font>
      <u/>
      <sz val="10"/>
      <color indexed="12"/>
      <name val="Roboto Light"/>
    </font>
    <font>
      <b/>
      <sz val="12"/>
      <color theme="6" tint="-0.499984740745262"/>
      <name val="Roboto Light"/>
    </font>
    <font>
      <sz val="10"/>
      <name val="Roboto"/>
    </font>
    <font>
      <b/>
      <sz val="14"/>
      <color rgb="FF993300"/>
      <name val="Aptos"/>
      <family val="2"/>
    </font>
    <font>
      <sz val="16"/>
      <color rgb="FF993300"/>
      <name val="Aptos"/>
      <family val="2"/>
    </font>
    <font>
      <b/>
      <sz val="16"/>
      <color rgb="FF993300"/>
      <name val="Aptos"/>
      <family val="2"/>
    </font>
    <font>
      <sz val="12"/>
      <color theme="10"/>
      <name val="Aptos"/>
      <family val="2"/>
    </font>
    <font>
      <b/>
      <sz val="12"/>
      <color indexed="81"/>
      <name val="Tahoma"/>
      <family val="2"/>
    </font>
    <font>
      <sz val="12"/>
      <color indexed="81"/>
      <name val="Tahoma"/>
      <family val="2"/>
    </font>
    <font>
      <sz val="14"/>
      <color theme="0"/>
      <name val="Aptos"/>
      <family val="2"/>
    </font>
    <font>
      <u/>
      <sz val="14"/>
      <color theme="10"/>
      <name val="Aptos"/>
      <family val="2"/>
    </font>
    <font>
      <vertAlign val="subscript"/>
      <sz val="12"/>
      <name val="Aptos"/>
      <family val="2"/>
    </font>
    <font>
      <i/>
      <sz val="14"/>
      <name val="Aptos"/>
      <family val="2"/>
    </font>
    <font>
      <b/>
      <vertAlign val="subscript"/>
      <sz val="14"/>
      <name val="Aptos"/>
      <family val="2"/>
    </font>
    <font>
      <sz val="14"/>
      <color theme="10"/>
      <name val="Aptos"/>
      <family val="2"/>
    </font>
    <font>
      <b/>
      <sz val="14"/>
      <color rgb="FF002060"/>
      <name val="Aptos"/>
      <family val="2"/>
    </font>
    <font>
      <b/>
      <sz val="14"/>
      <color rgb="FF02A39C"/>
      <name val="Aptos"/>
      <family val="2"/>
    </font>
    <font>
      <sz val="10"/>
      <color indexed="81"/>
      <name val="Tahoma"/>
      <family val="2"/>
    </font>
    <font>
      <b/>
      <sz val="10"/>
      <color rgb="FFFFFF00"/>
      <name val="Aptos"/>
      <family val="2"/>
    </font>
    <font>
      <b/>
      <sz val="14"/>
      <color rgb="FF0070C0"/>
      <name val="Aptos"/>
      <family val="2"/>
    </font>
    <font>
      <b/>
      <sz val="14"/>
      <color rgb="FF00B0F0"/>
      <name val="Aptos"/>
      <family val="2"/>
    </font>
    <font>
      <b/>
      <sz val="14"/>
      <color theme="4" tint="-0.499984740745262"/>
      <name val="Aptos"/>
      <family val="2"/>
    </font>
    <font>
      <b/>
      <u/>
      <sz val="14"/>
      <name val="Aptos"/>
      <family val="2"/>
    </font>
    <font>
      <sz val="11"/>
      <color indexed="81"/>
      <name val="Tahoma"/>
      <family val="2"/>
    </font>
    <font>
      <b/>
      <sz val="11"/>
      <color indexed="81"/>
      <name val="Tahoma"/>
      <family val="2"/>
    </font>
    <font>
      <sz val="26"/>
      <color theme="1"/>
      <name val="Calibri"/>
      <family val="2"/>
      <scheme val="minor"/>
    </font>
    <font>
      <sz val="18"/>
      <color indexed="81"/>
      <name val="Tahoma"/>
      <family val="2"/>
    </font>
    <font>
      <sz val="14"/>
      <color indexed="81"/>
      <name val="Tahoma"/>
      <family val="2"/>
    </font>
    <font>
      <b/>
      <sz val="14"/>
      <color indexed="81"/>
      <name val="Tahoma"/>
      <family val="2"/>
    </font>
    <font>
      <b/>
      <sz val="24"/>
      <name val="Aptos"/>
      <family val="2"/>
    </font>
    <font>
      <sz val="28"/>
      <color theme="0"/>
      <name val="Aptos"/>
      <family val="2"/>
    </font>
    <font>
      <u/>
      <sz val="16"/>
      <color rgb="FFFFFF00"/>
      <name val="Aptos"/>
      <family val="2"/>
    </font>
    <font>
      <b/>
      <sz val="14"/>
      <color rgb="FFE2AC00"/>
      <name val="Aptos"/>
      <family val="2"/>
    </font>
    <font>
      <u/>
      <sz val="12"/>
      <color rgb="FFFFFF00"/>
      <name val="Aptos"/>
      <family val="2"/>
    </font>
    <font>
      <b/>
      <sz val="22"/>
      <color rgb="FF993300"/>
      <name val="Aptos"/>
      <family val="2"/>
    </font>
    <font>
      <i/>
      <sz val="18"/>
      <name val="Aptos"/>
      <family val="2"/>
    </font>
    <font>
      <b/>
      <sz val="18"/>
      <color rgb="FF02A39C"/>
      <name val="Aptos"/>
      <family val="2"/>
    </font>
    <font>
      <u/>
      <sz val="20"/>
      <color theme="10"/>
      <name val="Aptos"/>
      <family val="2"/>
    </font>
    <font>
      <sz val="14"/>
      <color rgb="FF993300"/>
      <name val="Calibri"/>
      <family val="2"/>
      <scheme val="minor"/>
    </font>
    <font>
      <b/>
      <sz val="14"/>
      <color rgb="FF993300"/>
      <name val="Calibri"/>
      <family val="2"/>
      <scheme val="minor"/>
    </font>
    <font>
      <b/>
      <u/>
      <sz val="16"/>
      <color rgb="FF993300"/>
      <name val="Aptos"/>
      <family val="2"/>
    </font>
    <font>
      <u/>
      <sz val="14"/>
      <name val="Aptos"/>
      <family val="2"/>
    </font>
    <font>
      <b/>
      <sz val="18"/>
      <color indexed="63"/>
      <name val="Arial"/>
      <family val="2"/>
    </font>
    <font>
      <sz val="18"/>
      <color theme="1"/>
      <name val="Calibri"/>
      <family val="2"/>
      <scheme val="minor"/>
    </font>
    <font>
      <sz val="18"/>
      <name val="Arial"/>
      <family val="2"/>
    </font>
    <font>
      <sz val="18"/>
      <color indexed="55"/>
      <name val="Arial"/>
      <family val="2"/>
    </font>
    <font>
      <sz val="18"/>
      <color indexed="63"/>
      <name val="Arial"/>
      <family val="2"/>
    </font>
    <font>
      <b/>
      <u/>
      <sz val="14"/>
      <color rgb="FF002060"/>
      <name val="Aptos"/>
      <family val="2"/>
    </font>
    <font>
      <sz val="14"/>
      <color rgb="FFFFFF00"/>
      <name val="Aptos"/>
      <family val="2"/>
    </font>
    <font>
      <b/>
      <i/>
      <sz val="18"/>
      <name val="Aptos"/>
      <family val="2"/>
    </font>
    <font>
      <sz val="14"/>
      <color theme="1"/>
      <name val="Tahoma"/>
      <family val="2"/>
    </font>
    <font>
      <b/>
      <sz val="17"/>
      <color theme="1"/>
      <name val="Aptos"/>
      <family val="2"/>
    </font>
    <font>
      <b/>
      <sz val="24"/>
      <color theme="0" tint="-4.9989318521683403E-2"/>
      <name val="Aptos"/>
      <family val="2"/>
    </font>
    <font>
      <u/>
      <sz val="12"/>
      <color theme="10"/>
      <name val="Calibri"/>
      <family val="2"/>
      <scheme val="minor"/>
    </font>
    <font>
      <u/>
      <sz val="12"/>
      <color theme="10"/>
      <name val="Aptos"/>
      <family val="2"/>
    </font>
    <font>
      <vertAlign val="superscript"/>
      <sz val="12"/>
      <name val="Aptos"/>
      <family val="2"/>
    </font>
    <font>
      <sz val="11"/>
      <name val="Calibri"/>
      <family val="2"/>
      <scheme val="minor"/>
    </font>
    <font>
      <b/>
      <vertAlign val="subscript"/>
      <sz val="16"/>
      <color theme="1"/>
      <name val="Aptos"/>
      <family val="2"/>
    </font>
    <font>
      <sz val="48"/>
      <color theme="0"/>
      <name val="Aptos"/>
      <family val="2"/>
    </font>
    <font>
      <b/>
      <sz val="14"/>
      <color rgb="FF028882"/>
      <name val="Aptos"/>
      <family val="2"/>
    </font>
    <font>
      <u/>
      <sz val="14"/>
      <color theme="8" tint="-0.249977111117893"/>
      <name val="Aptos"/>
      <family val="2"/>
    </font>
    <font>
      <i/>
      <sz val="17"/>
      <name val="Aptos"/>
      <family val="2"/>
    </font>
    <font>
      <sz val="17"/>
      <name val="Aptos"/>
      <family val="2"/>
    </font>
    <font>
      <b/>
      <sz val="17"/>
      <name val="Aptos"/>
      <family val="2"/>
    </font>
    <font>
      <b/>
      <sz val="11"/>
      <color rgb="FFC65911"/>
      <name val="Aptos"/>
      <family val="2"/>
    </font>
    <font>
      <b/>
      <sz val="10"/>
      <color indexed="81"/>
      <name val="Tahoma"/>
      <family val="2"/>
    </font>
    <font>
      <u/>
      <sz val="12"/>
      <color theme="1"/>
      <name val="Aptos"/>
      <family val="2"/>
    </font>
    <font>
      <u/>
      <sz val="14"/>
      <color rgb="FF00B0F0"/>
      <name val="Aptos"/>
      <family val="2"/>
    </font>
    <font>
      <b/>
      <sz val="10"/>
      <color rgb="FF566471"/>
      <name val="Tahoma"/>
      <family val="2"/>
    </font>
    <font>
      <sz val="10"/>
      <color rgb="FF566471"/>
      <name val="Tahoma"/>
      <family val="2"/>
    </font>
    <font>
      <i/>
      <sz val="10"/>
      <color rgb="FF444444"/>
      <name val="Tahoma"/>
      <family val="2"/>
    </font>
    <font>
      <b/>
      <sz val="36"/>
      <name val="Aptos"/>
      <family val="2"/>
    </font>
    <font>
      <b/>
      <sz val="28"/>
      <color theme="0"/>
      <name val="Aptos"/>
      <family val="2"/>
    </font>
    <font>
      <b/>
      <sz val="28"/>
      <color theme="1"/>
      <name val="Aptos"/>
      <family val="2"/>
    </font>
    <font>
      <b/>
      <sz val="28"/>
      <name val="Aptos"/>
      <family val="2"/>
    </font>
    <font>
      <b/>
      <sz val="36"/>
      <color theme="1"/>
      <name val="Aptos"/>
      <family val="2"/>
    </font>
  </fonts>
  <fills count="56">
    <fill>
      <patternFill patternType="none"/>
    </fill>
    <fill>
      <patternFill patternType="gray125"/>
    </fill>
    <fill>
      <patternFill patternType="solid">
        <fgColor indexed="9"/>
        <bgColor indexed="64"/>
      </patternFill>
    </fill>
    <fill>
      <patternFill patternType="solid">
        <fgColor rgb="FF58D4CC"/>
        <bgColor indexed="64"/>
      </patternFill>
    </fill>
    <fill>
      <patternFill patternType="solid">
        <fgColor rgb="FF02A39C"/>
        <bgColor indexed="64"/>
      </patternFill>
    </fill>
    <fill>
      <patternFill patternType="solid">
        <fgColor rgb="FFA3D961"/>
        <bgColor indexed="64"/>
      </patternFill>
    </fill>
    <fill>
      <patternFill patternType="solid">
        <fgColor rgb="FFA3D9FF"/>
        <bgColor indexed="64"/>
      </patternFill>
    </fill>
    <fill>
      <patternFill patternType="solid">
        <fgColor theme="9" tint="0.79998168889431442"/>
        <bgColor indexed="64"/>
      </patternFill>
    </fill>
    <fill>
      <patternFill patternType="solid">
        <fgColor rgb="FF005480"/>
        <bgColor indexed="64"/>
      </patternFill>
    </fill>
    <fill>
      <patternFill patternType="solid">
        <fgColor rgb="FFFFFF00"/>
        <bgColor indexed="64"/>
      </patternFill>
    </fill>
    <fill>
      <patternFill patternType="solid">
        <fgColor theme="0"/>
        <bgColor indexed="64"/>
      </patternFill>
    </fill>
    <fill>
      <patternFill patternType="solid">
        <fgColor indexed="44"/>
        <bgColor indexed="64"/>
      </patternFill>
    </fill>
    <fill>
      <patternFill patternType="solid">
        <fgColor theme="9" tint="0.599963377788628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028882"/>
        <bgColor indexed="64"/>
      </patternFill>
    </fill>
    <fill>
      <patternFill patternType="solid">
        <fgColor rgb="FFA5A5A5"/>
      </patternFill>
    </fill>
    <fill>
      <patternFill patternType="solid">
        <fgColor rgb="FFC9E9FF"/>
        <bgColor indexed="64"/>
      </patternFill>
    </fill>
    <fill>
      <patternFill patternType="solid">
        <fgColor rgb="FFFFFFB9"/>
        <bgColor indexed="64"/>
      </patternFill>
    </fill>
    <fill>
      <patternFill patternType="solid">
        <fgColor theme="9" tint="0.39997558519241921"/>
        <bgColor indexed="64"/>
      </patternFill>
    </fill>
    <fill>
      <patternFill patternType="mediumGray"/>
    </fill>
    <fill>
      <patternFill patternType="solid">
        <fgColor theme="9" tint="-0.249977111117893"/>
        <bgColor indexed="64"/>
      </patternFill>
    </fill>
    <fill>
      <patternFill patternType="solid">
        <fgColor theme="4" tint="0.39997558519241921"/>
        <bgColor indexed="64"/>
      </patternFill>
    </fill>
    <fill>
      <patternFill patternType="solid">
        <fgColor rgb="FFFFE07D"/>
        <bgColor indexed="64"/>
      </patternFill>
    </fill>
    <fill>
      <patternFill patternType="solid">
        <fgColor theme="9" tint="-0.499984740745262"/>
        <bgColor indexed="64"/>
      </patternFill>
    </fill>
    <fill>
      <patternFill patternType="solid">
        <fgColor theme="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01635E"/>
        <bgColor indexed="64"/>
      </patternFill>
    </fill>
    <fill>
      <patternFill patternType="solid">
        <fgColor rgb="FFA9D08E"/>
        <bgColor indexed="64"/>
      </patternFill>
    </fill>
    <fill>
      <patternFill patternType="solid">
        <fgColor rgb="FFC6E0B4"/>
        <bgColor indexed="64"/>
      </patternFill>
    </fill>
    <fill>
      <patternFill patternType="solid">
        <fgColor rgb="FFE2EFDA"/>
        <bgColor indexed="64"/>
      </patternFill>
    </fill>
    <fill>
      <patternFill patternType="solid">
        <fgColor rgb="FF014744"/>
        <bgColor indexed="64"/>
      </patternFill>
    </fill>
    <fill>
      <patternFill patternType="solid">
        <fgColor rgb="FF75B34B"/>
        <bgColor indexed="64"/>
      </patternFill>
    </fill>
    <fill>
      <patternFill patternType="solid">
        <fgColor rgb="FF9BC2E6"/>
        <bgColor indexed="64"/>
      </patternFill>
    </fill>
    <fill>
      <patternFill patternType="solid">
        <fgColor rgb="FFFFD757"/>
        <bgColor indexed="64"/>
      </patternFill>
    </fill>
    <fill>
      <patternFill patternType="solid">
        <fgColor rgb="FF02BEB5"/>
        <bgColor indexed="64"/>
      </patternFill>
    </fill>
    <fill>
      <patternFill patternType="solid">
        <fgColor rgb="FF02AEA6"/>
        <bgColor indexed="64"/>
      </patternFill>
    </fill>
    <fill>
      <patternFill patternType="solid">
        <fgColor rgb="FFFFE699"/>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rgb="FFFFD85B"/>
        <bgColor indexed="64"/>
      </patternFill>
    </fill>
    <fill>
      <patternFill patternType="solid">
        <fgColor rgb="FFF1F7ED"/>
        <bgColor indexed="64"/>
      </patternFill>
    </fill>
    <fill>
      <patternFill patternType="solid">
        <fgColor rgb="FF85BD5F"/>
        <bgColor indexed="64"/>
      </patternFill>
    </fill>
    <fill>
      <patternFill patternType="solid">
        <fgColor rgb="FFF2F8EE"/>
        <bgColor indexed="64"/>
      </patternFill>
    </fill>
    <fill>
      <patternFill patternType="solid">
        <fgColor rgb="FF000000"/>
        <bgColor indexed="64"/>
      </patternFill>
    </fill>
    <fill>
      <patternFill patternType="solid">
        <fgColor rgb="FF00B0F0"/>
        <bgColor indexed="64"/>
      </patternFill>
    </fill>
    <fill>
      <patternFill patternType="solid">
        <fgColor rgb="FFFFFFFF"/>
        <bgColor indexed="64"/>
      </patternFill>
    </fill>
    <fill>
      <patternFill patternType="solid">
        <fgColor rgb="FFDDE7F1"/>
        <bgColor indexed="64"/>
      </patternFill>
    </fill>
    <fill>
      <patternFill patternType="solid">
        <fgColor rgb="FFD0DDED"/>
        <bgColor indexed="64"/>
      </patternFill>
    </fill>
    <fill>
      <patternFill patternType="solid">
        <fgColor rgb="FFE9F0F8"/>
        <bgColor indexed="64"/>
      </patternFill>
    </fill>
    <fill>
      <patternFill patternType="solid">
        <fgColor rgb="FFF1F4F9"/>
        <bgColor indexed="64"/>
      </patternFill>
    </fill>
  </fills>
  <borders count="26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9"/>
      </left>
      <right style="thin">
        <color indexed="9"/>
      </right>
      <top/>
      <bottom style="thin">
        <color indexed="9"/>
      </bottom>
      <diagonal/>
    </border>
    <border>
      <left/>
      <right/>
      <top style="thick">
        <color rgb="FF02A39C"/>
      </top>
      <bottom style="thick">
        <color rgb="FF02A39C"/>
      </bottom>
      <diagonal/>
    </border>
    <border>
      <left style="thin">
        <color rgb="FFA3D961"/>
      </left>
      <right style="thin">
        <color rgb="FFA3D961"/>
      </right>
      <top style="thin">
        <color rgb="FFA3D961"/>
      </top>
      <bottom style="thin">
        <color rgb="FFA3D961"/>
      </bottom>
      <diagonal/>
    </border>
    <border>
      <left/>
      <right style="thin">
        <color rgb="FFA3D961"/>
      </right>
      <top style="thin">
        <color rgb="FFA3D961"/>
      </top>
      <bottom style="thin">
        <color rgb="FFA3D961"/>
      </bottom>
      <diagonal/>
    </border>
    <border>
      <left/>
      <right/>
      <top style="thin">
        <color rgb="FFA3D961"/>
      </top>
      <bottom style="thin">
        <color rgb="FFA3D961"/>
      </bottom>
      <diagonal/>
    </border>
    <border>
      <left style="thin">
        <color rgb="FFA3D961"/>
      </left>
      <right/>
      <top style="thin">
        <color rgb="FFA3D961"/>
      </top>
      <bottom style="thin">
        <color rgb="FFA3D961"/>
      </bottom>
      <diagonal/>
    </border>
    <border>
      <left style="thin">
        <color rgb="FFA3D961"/>
      </left>
      <right style="thin">
        <color rgb="FFA3D961"/>
      </right>
      <top/>
      <bottom style="thin">
        <color rgb="FFA3D961"/>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bottom style="thin">
        <color rgb="FFA3D961"/>
      </bottom>
      <diagonal/>
    </border>
    <border>
      <left/>
      <right style="thin">
        <color rgb="FFA3D961"/>
      </right>
      <top/>
      <bottom style="thin">
        <color rgb="FFA3D961"/>
      </bottom>
      <diagonal/>
    </border>
    <border>
      <left style="double">
        <color rgb="FF3F3F3F"/>
      </left>
      <right style="double">
        <color rgb="FF3F3F3F"/>
      </right>
      <top style="double">
        <color rgb="FF3F3F3F"/>
      </top>
      <bottom style="double">
        <color rgb="FF3F3F3F"/>
      </bottom>
      <diagonal/>
    </border>
    <border>
      <left/>
      <right/>
      <top/>
      <bottom style="thin">
        <color rgb="FF02A39C"/>
      </bottom>
      <diagonal/>
    </border>
    <border>
      <left/>
      <right/>
      <top style="thin">
        <color rgb="FF02A39C"/>
      </top>
      <bottom/>
      <diagonal/>
    </border>
    <border>
      <left/>
      <right style="thin">
        <color rgb="FF02A39C"/>
      </right>
      <top/>
      <bottom style="thin">
        <color rgb="FF02A39C"/>
      </bottom>
      <diagonal/>
    </border>
    <border>
      <left style="thin">
        <color rgb="FF02A39C"/>
      </left>
      <right/>
      <top/>
      <bottom style="thin">
        <color rgb="FF02A39C"/>
      </bottom>
      <diagonal/>
    </border>
    <border>
      <left style="thin">
        <color rgb="FFA3D961"/>
      </left>
      <right/>
      <top style="thin">
        <color rgb="FFA3D961"/>
      </top>
      <bottom/>
      <diagonal/>
    </border>
    <border>
      <left/>
      <right/>
      <top style="thin">
        <color rgb="FFA3D961"/>
      </top>
      <bottom/>
      <diagonal/>
    </border>
    <border>
      <left/>
      <right style="thin">
        <color rgb="FFA3D961"/>
      </right>
      <top style="thin">
        <color rgb="FFA3D961"/>
      </top>
      <bottom/>
      <diagonal/>
    </border>
    <border>
      <left/>
      <right style="thin">
        <color rgb="FFA3D961"/>
      </right>
      <top/>
      <bottom/>
      <diagonal/>
    </border>
    <border>
      <left style="thin">
        <color rgb="FFA3D961"/>
      </left>
      <right/>
      <top/>
      <bottom style="thin">
        <color rgb="FFA3D961"/>
      </bottom>
      <diagonal/>
    </border>
    <border>
      <left style="thin">
        <color rgb="FF02A39C"/>
      </left>
      <right/>
      <top style="thin">
        <color rgb="FF02A39C"/>
      </top>
      <bottom/>
      <diagonal/>
    </border>
    <border>
      <left/>
      <right style="thin">
        <color rgb="FF02A39C"/>
      </right>
      <top style="thin">
        <color rgb="FF02A39C"/>
      </top>
      <bottom/>
      <diagonal/>
    </border>
    <border>
      <left style="thin">
        <color rgb="FF02A39C"/>
      </left>
      <right/>
      <top/>
      <bottom/>
      <diagonal/>
    </border>
    <border>
      <left/>
      <right style="thin">
        <color rgb="FF02A39C"/>
      </right>
      <top/>
      <bottom/>
      <diagonal/>
    </border>
    <border>
      <left/>
      <right/>
      <top/>
      <bottom style="dashed">
        <color rgb="FF02A39C"/>
      </bottom>
      <diagonal/>
    </border>
    <border>
      <left/>
      <right/>
      <top style="dashed">
        <color rgb="FF02A39C"/>
      </top>
      <bottom style="dashed">
        <color rgb="FF02A39C"/>
      </bottom>
      <diagonal/>
    </border>
    <border>
      <left/>
      <right/>
      <top style="dashed">
        <color rgb="FF02A39C"/>
      </top>
      <bottom/>
      <diagonal/>
    </border>
    <border>
      <left/>
      <right style="dashed">
        <color rgb="FF02A39C"/>
      </right>
      <top/>
      <bottom style="dashed">
        <color rgb="FF02A39C"/>
      </bottom>
      <diagonal/>
    </border>
    <border>
      <left style="dashed">
        <color rgb="FF02A39C"/>
      </left>
      <right/>
      <top/>
      <bottom style="dashed">
        <color rgb="FF02A39C"/>
      </bottom>
      <diagonal/>
    </border>
    <border>
      <left/>
      <right style="dashed">
        <color rgb="FF02A39C"/>
      </right>
      <top style="dashed">
        <color rgb="FF02A39C"/>
      </top>
      <bottom style="dashed">
        <color rgb="FF02A39C"/>
      </bottom>
      <diagonal/>
    </border>
    <border>
      <left style="dashed">
        <color rgb="FF02A39C"/>
      </left>
      <right/>
      <top style="dashed">
        <color rgb="FF02A39C"/>
      </top>
      <bottom style="dashed">
        <color rgb="FF02A39C"/>
      </bottom>
      <diagonal/>
    </border>
    <border>
      <left/>
      <right style="dashed">
        <color rgb="FF02A39C"/>
      </right>
      <top style="dashed">
        <color rgb="FF02A39C"/>
      </top>
      <bottom/>
      <diagonal/>
    </border>
    <border>
      <left style="dashed">
        <color rgb="FF02A39C"/>
      </left>
      <right style="dashed">
        <color rgb="FF02A39C"/>
      </right>
      <top style="dashed">
        <color rgb="FF02A39C"/>
      </top>
      <bottom style="dashed">
        <color rgb="FF02A39C"/>
      </bottom>
      <diagonal/>
    </border>
    <border>
      <left style="dashed">
        <color rgb="FF02A39C"/>
      </left>
      <right style="dashed">
        <color rgb="FF02A39C"/>
      </right>
      <top style="dashed">
        <color rgb="FF02A39C"/>
      </top>
      <bottom/>
      <diagonal/>
    </border>
    <border>
      <left style="dashed">
        <color rgb="FF02A39C"/>
      </left>
      <right style="dashed">
        <color rgb="FF02A39C"/>
      </right>
      <top/>
      <bottom style="dashed">
        <color rgb="FF02A39C"/>
      </bottom>
      <diagonal/>
    </border>
    <border>
      <left/>
      <right style="dashed">
        <color rgb="FF02A39C"/>
      </right>
      <top/>
      <bottom/>
      <diagonal/>
    </border>
    <border>
      <left style="thin">
        <color rgb="FFA3D9FF"/>
      </left>
      <right style="thin">
        <color rgb="FFA3D9FF"/>
      </right>
      <top style="thin">
        <color rgb="FFA3D9FF"/>
      </top>
      <bottom/>
      <diagonal/>
    </border>
    <border>
      <left style="thin">
        <color rgb="FFA3D9FF"/>
      </left>
      <right/>
      <top/>
      <bottom/>
      <diagonal/>
    </border>
    <border>
      <left style="thin">
        <color rgb="FFA3D9FF"/>
      </left>
      <right style="thin">
        <color rgb="FFA3D9FF"/>
      </right>
      <top/>
      <bottom/>
      <diagonal/>
    </border>
    <border>
      <left/>
      <right style="medium">
        <color rgb="FFA3D961"/>
      </right>
      <top/>
      <bottom/>
      <diagonal/>
    </border>
    <border>
      <left style="medium">
        <color rgb="FFA3D961"/>
      </left>
      <right/>
      <top style="medium">
        <color rgb="FFA3D961"/>
      </top>
      <bottom/>
      <diagonal/>
    </border>
    <border>
      <left style="medium">
        <color rgb="FFA3D961"/>
      </left>
      <right/>
      <top style="medium">
        <color rgb="FFA3D961"/>
      </top>
      <bottom style="medium">
        <color rgb="FFA3D961"/>
      </bottom>
      <diagonal/>
    </border>
    <border>
      <left/>
      <right/>
      <top style="medium">
        <color rgb="FFA3D961"/>
      </top>
      <bottom style="medium">
        <color rgb="FFA3D961"/>
      </bottom>
      <diagonal/>
    </border>
    <border>
      <left/>
      <right style="thin">
        <color rgb="FFA3D9FF"/>
      </right>
      <top/>
      <bottom/>
      <diagonal/>
    </border>
    <border>
      <left/>
      <right/>
      <top style="thin">
        <color rgb="FFA3D961"/>
      </top>
      <bottom style="dashed">
        <color rgb="FF02A39C"/>
      </bottom>
      <diagonal/>
    </border>
    <border>
      <left style="thin">
        <color auto="1"/>
      </left>
      <right style="thin">
        <color auto="1"/>
      </right>
      <top/>
      <bottom/>
      <diagonal/>
    </border>
    <border>
      <left style="thin">
        <color auto="1"/>
      </left>
      <right/>
      <top/>
      <bottom/>
      <diagonal/>
    </border>
    <border>
      <left/>
      <right/>
      <top/>
      <bottom style="thin">
        <color indexed="64"/>
      </bottom>
      <diagonal/>
    </border>
    <border>
      <left/>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rgb="FF014744"/>
      </top>
      <bottom/>
      <diagonal/>
    </border>
    <border>
      <left/>
      <right style="thin">
        <color rgb="FF014744"/>
      </right>
      <top style="thin">
        <color rgb="FF014744"/>
      </top>
      <bottom/>
      <diagonal/>
    </border>
    <border>
      <left style="thin">
        <color rgb="FF014744"/>
      </left>
      <right/>
      <top/>
      <bottom/>
      <diagonal/>
    </border>
    <border>
      <left/>
      <right style="thin">
        <color rgb="FF014744"/>
      </right>
      <top/>
      <bottom/>
      <diagonal/>
    </border>
    <border>
      <left/>
      <right/>
      <top style="thin">
        <color rgb="FF02A39C"/>
      </top>
      <bottom style="thin">
        <color rgb="FF02A39C"/>
      </bottom>
      <diagonal/>
    </border>
    <border>
      <left style="thin">
        <color rgb="FFA3D961"/>
      </left>
      <right style="thin">
        <color rgb="FFA3D961"/>
      </right>
      <top style="thin">
        <color rgb="FFA3D961"/>
      </top>
      <bottom/>
      <diagonal/>
    </border>
    <border>
      <left style="thin">
        <color rgb="FF02AEA6"/>
      </left>
      <right/>
      <top style="thin">
        <color rgb="FF02AEA6"/>
      </top>
      <bottom/>
      <diagonal/>
    </border>
    <border>
      <left/>
      <right/>
      <top style="thin">
        <color rgb="FF02AEA6"/>
      </top>
      <bottom/>
      <diagonal/>
    </border>
    <border>
      <left/>
      <right style="thin">
        <color rgb="FF02AEA6"/>
      </right>
      <top style="thin">
        <color rgb="FF02AEA6"/>
      </top>
      <bottom/>
      <diagonal/>
    </border>
    <border>
      <left style="thin">
        <color rgb="FF02AEA6"/>
      </left>
      <right/>
      <top/>
      <bottom/>
      <diagonal/>
    </border>
    <border>
      <left/>
      <right style="thin">
        <color rgb="FF02AEA6"/>
      </right>
      <top/>
      <bottom/>
      <diagonal/>
    </border>
    <border>
      <left style="thin">
        <color rgb="FF014744"/>
      </left>
      <right/>
      <top/>
      <bottom style="thin">
        <color rgb="FF014744"/>
      </bottom>
      <diagonal/>
    </border>
    <border>
      <left/>
      <right/>
      <top/>
      <bottom style="thin">
        <color rgb="FF014744"/>
      </bottom>
      <diagonal/>
    </border>
    <border>
      <left/>
      <right style="thin">
        <color rgb="FF014744"/>
      </right>
      <top/>
      <bottom style="thin">
        <color rgb="FF014744"/>
      </bottom>
      <diagonal/>
    </border>
    <border>
      <left style="thin">
        <color rgb="FF02AEA6"/>
      </left>
      <right style="thin">
        <color rgb="FF02AEA6"/>
      </right>
      <top style="thin">
        <color rgb="FF02AEA6"/>
      </top>
      <bottom style="thin">
        <color rgb="FF02AEA6"/>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top/>
      <bottom/>
      <diagonal/>
    </border>
    <border>
      <left/>
      <right style="thin">
        <color theme="6"/>
      </right>
      <top/>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thin">
        <color rgb="FFFFC000"/>
      </left>
      <right style="thin">
        <color rgb="FFFFC000"/>
      </right>
      <top style="thin">
        <color rgb="FFFFC000"/>
      </top>
      <bottom style="thin">
        <color rgb="FFFFC000"/>
      </bottom>
      <diagonal/>
    </border>
    <border>
      <left style="thin">
        <color rgb="FFFFC000"/>
      </left>
      <right style="thin">
        <color rgb="FFFFC000"/>
      </right>
      <top style="thin">
        <color rgb="FFFFC000"/>
      </top>
      <bottom/>
      <diagonal/>
    </border>
    <border>
      <left style="thin">
        <color rgb="FFFFC000"/>
      </left>
      <right style="thin">
        <color rgb="FFFFC000"/>
      </right>
      <top/>
      <bottom/>
      <diagonal/>
    </border>
    <border>
      <left style="thin">
        <color rgb="FFFFC000"/>
      </left>
      <right style="thin">
        <color rgb="FFFFC000"/>
      </right>
      <top/>
      <bottom style="thin">
        <color rgb="FFFFC000"/>
      </bottom>
      <diagonal/>
    </border>
    <border>
      <left style="thin">
        <color rgb="FFFFC000"/>
      </left>
      <right/>
      <top style="thin">
        <color rgb="FFFFC000"/>
      </top>
      <bottom style="thin">
        <color rgb="FFFFC000"/>
      </bottom>
      <diagonal/>
    </border>
    <border>
      <left/>
      <right/>
      <top style="thin">
        <color rgb="FFFFC000"/>
      </top>
      <bottom style="thin">
        <color rgb="FFFFC000"/>
      </bottom>
      <diagonal/>
    </border>
    <border>
      <left/>
      <right style="thin">
        <color rgb="FFFFC000"/>
      </right>
      <top style="thin">
        <color rgb="FFFFC000"/>
      </top>
      <bottom style="thin">
        <color rgb="FFFFC000"/>
      </bottom>
      <diagonal/>
    </border>
    <border>
      <left style="thin">
        <color rgb="FFFFC000"/>
      </left>
      <right/>
      <top/>
      <bottom style="thin">
        <color rgb="FFFFC000"/>
      </bottom>
      <diagonal/>
    </border>
    <border>
      <left/>
      <right/>
      <top/>
      <bottom style="thin">
        <color rgb="FFFFC000"/>
      </bottom>
      <diagonal/>
    </border>
    <border>
      <left/>
      <right style="thin">
        <color rgb="FFFFC000"/>
      </right>
      <top/>
      <bottom style="thin">
        <color rgb="FFFFC000"/>
      </bottom>
      <diagonal/>
    </border>
    <border>
      <left style="thin">
        <color rgb="FFFFC000"/>
      </left>
      <right/>
      <top style="thin">
        <color rgb="FFFFC000"/>
      </top>
      <bottom/>
      <diagonal/>
    </border>
    <border>
      <left/>
      <right/>
      <top style="thin">
        <color rgb="FFFFC000"/>
      </top>
      <bottom/>
      <diagonal/>
    </border>
    <border>
      <left/>
      <right style="thin">
        <color rgb="FFFFC000"/>
      </right>
      <top style="thin">
        <color rgb="FFFFC000"/>
      </top>
      <bottom/>
      <diagonal/>
    </border>
    <border>
      <left/>
      <right style="thin">
        <color rgb="FFFFC000"/>
      </right>
      <top/>
      <bottom/>
      <diagonal/>
    </border>
    <border>
      <left style="thin">
        <color rgb="FFFFC000"/>
      </left>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FFC000"/>
      </left>
      <right/>
      <top/>
      <bottom style="thin">
        <color rgb="FFFFC000"/>
      </bottom>
      <diagonal/>
    </border>
    <border>
      <left style="thick">
        <color rgb="FF02A39C"/>
      </left>
      <right style="thick">
        <color rgb="FF02A39C"/>
      </right>
      <top style="thick">
        <color rgb="FF02A39C"/>
      </top>
      <bottom/>
      <diagonal/>
    </border>
    <border>
      <left style="thick">
        <color rgb="FF02A39C"/>
      </left>
      <right style="thick">
        <color rgb="FF02A39C"/>
      </right>
      <top/>
      <bottom/>
      <diagonal/>
    </border>
    <border>
      <left style="thick">
        <color rgb="FF02A39C"/>
      </left>
      <right style="thick">
        <color rgb="FF02A39C"/>
      </right>
      <top/>
      <bottom style="thick">
        <color rgb="FF02A39C"/>
      </bottom>
      <diagonal/>
    </border>
    <border>
      <left/>
      <right style="thick">
        <color rgb="FF02A39C"/>
      </right>
      <top style="thin">
        <color indexed="64"/>
      </top>
      <bottom style="thin">
        <color indexed="64"/>
      </bottom>
      <diagonal/>
    </border>
    <border>
      <left/>
      <right style="thick">
        <color rgb="FF02A39C"/>
      </right>
      <top/>
      <bottom style="thin">
        <color indexed="64"/>
      </bottom>
      <diagonal/>
    </border>
    <border>
      <left style="thick">
        <color rgb="FF02A39C"/>
      </left>
      <right style="thick">
        <color rgb="FF02A39C"/>
      </right>
      <top style="medium">
        <color rgb="FF02A39C"/>
      </top>
      <bottom style="medium">
        <color rgb="FF02A39C"/>
      </bottom>
      <diagonal/>
    </border>
    <border>
      <left style="thick">
        <color rgb="FF02A39C"/>
      </left>
      <right style="thick">
        <color rgb="FF02A39C"/>
      </right>
      <top style="thick">
        <color rgb="FF02A39C"/>
      </top>
      <bottom style="thick">
        <color rgb="FF02A39C"/>
      </bottom>
      <diagonal/>
    </border>
    <border>
      <left style="thin">
        <color rgb="FFE2AC00"/>
      </left>
      <right style="thin">
        <color rgb="FFE2AC00"/>
      </right>
      <top style="thin">
        <color rgb="FFE2AC00"/>
      </top>
      <bottom style="thin">
        <color rgb="FFE2AC00"/>
      </bottom>
      <diagonal/>
    </border>
    <border>
      <left style="thin">
        <color rgb="FFE2AC00"/>
      </left>
      <right/>
      <top style="thin">
        <color rgb="FFE2AC00"/>
      </top>
      <bottom/>
      <diagonal/>
    </border>
    <border>
      <left/>
      <right/>
      <top style="thin">
        <color rgb="FFE2AC00"/>
      </top>
      <bottom/>
      <diagonal/>
    </border>
    <border>
      <left/>
      <right style="thin">
        <color rgb="FFE2AC00"/>
      </right>
      <top style="thin">
        <color rgb="FFE2AC00"/>
      </top>
      <bottom/>
      <diagonal/>
    </border>
    <border>
      <left style="thin">
        <color theme="9" tint="0.39994506668294322"/>
      </left>
      <right/>
      <top style="thin">
        <color theme="9" tint="0.39994506668294322"/>
      </top>
      <bottom/>
      <diagonal/>
    </border>
    <border>
      <left/>
      <right/>
      <top style="thin">
        <color theme="9" tint="0.39994506668294322"/>
      </top>
      <bottom/>
      <diagonal/>
    </border>
    <border>
      <left/>
      <right style="thin">
        <color theme="9" tint="0.39994506668294322"/>
      </right>
      <top style="thin">
        <color theme="9" tint="0.39994506668294322"/>
      </top>
      <bottom/>
      <diagonal/>
    </border>
    <border>
      <left style="thin">
        <color theme="9" tint="0.39994506668294322"/>
      </left>
      <right/>
      <top/>
      <bottom/>
      <diagonal/>
    </border>
    <border>
      <left/>
      <right style="thin">
        <color theme="9" tint="0.39994506668294322"/>
      </right>
      <top/>
      <bottom/>
      <diagonal/>
    </border>
    <border>
      <left style="thin">
        <color theme="9" tint="0.39994506668294322"/>
      </left>
      <right/>
      <top/>
      <bottom style="thin">
        <color theme="9" tint="0.39994506668294322"/>
      </bottom>
      <diagonal/>
    </border>
    <border>
      <left/>
      <right/>
      <top/>
      <bottom style="thin">
        <color theme="9" tint="0.39994506668294322"/>
      </bottom>
      <diagonal/>
    </border>
    <border>
      <left/>
      <right style="thin">
        <color theme="9" tint="0.39994506668294322"/>
      </right>
      <top/>
      <bottom style="thin">
        <color theme="9" tint="0.39994506668294322"/>
      </bottom>
      <diagonal/>
    </border>
    <border>
      <left style="thin">
        <color rgb="FF014744"/>
      </left>
      <right/>
      <top style="thin">
        <color rgb="FF014744"/>
      </top>
      <bottom/>
      <diagonal/>
    </border>
    <border>
      <left style="thin">
        <color rgb="FFE2AC00"/>
      </left>
      <right style="thin">
        <color rgb="FFFFC000"/>
      </right>
      <top style="thin">
        <color rgb="FFFFC000"/>
      </top>
      <bottom/>
      <diagonal/>
    </border>
    <border>
      <left/>
      <right style="thin">
        <color rgb="FFE2AC00"/>
      </right>
      <top style="thin">
        <color rgb="FFFFC000"/>
      </top>
      <bottom style="thin">
        <color rgb="FFFFC000"/>
      </bottom>
      <diagonal/>
    </border>
    <border>
      <left style="thin">
        <color rgb="FFE2AC00"/>
      </left>
      <right style="thin">
        <color rgb="FFFFC000"/>
      </right>
      <top style="thin">
        <color rgb="FFFFC000"/>
      </top>
      <bottom style="thin">
        <color rgb="FFE2AC00"/>
      </bottom>
      <diagonal/>
    </border>
    <border>
      <left style="thin">
        <color rgb="FFFFC000"/>
      </left>
      <right style="thin">
        <color rgb="FFFFC000"/>
      </right>
      <top style="thin">
        <color rgb="FFFFC000"/>
      </top>
      <bottom style="thin">
        <color rgb="FFE2AC00"/>
      </bottom>
      <diagonal/>
    </border>
    <border>
      <left style="thin">
        <color rgb="FFFFC000"/>
      </left>
      <right style="thin">
        <color rgb="FFE2AC00"/>
      </right>
      <top style="thin">
        <color rgb="FFFFC000"/>
      </top>
      <bottom style="thin">
        <color rgb="FFE2AC00"/>
      </bottom>
      <diagonal/>
    </border>
    <border>
      <left style="thin">
        <color rgb="FFE2AC00"/>
      </left>
      <right/>
      <top style="thin">
        <color rgb="FFE2AC00"/>
      </top>
      <bottom style="thin">
        <color rgb="FFE2AC00"/>
      </bottom>
      <diagonal/>
    </border>
    <border>
      <left/>
      <right style="thin">
        <color rgb="FFE2AC00"/>
      </right>
      <top style="thin">
        <color rgb="FFE2AC00"/>
      </top>
      <bottom style="thin">
        <color rgb="FFE2AC00"/>
      </bottom>
      <diagonal/>
    </border>
    <border>
      <left/>
      <right/>
      <top style="thin">
        <color rgb="FFE2AC00"/>
      </top>
      <bottom style="thin">
        <color rgb="FFE2AC00"/>
      </bottom>
      <diagonal/>
    </border>
    <border>
      <left style="thin">
        <color rgb="FFE2AC00"/>
      </left>
      <right style="thin">
        <color rgb="FFFFC000"/>
      </right>
      <top/>
      <bottom/>
      <diagonal/>
    </border>
    <border>
      <left style="thin">
        <color rgb="FFE2AC00"/>
      </left>
      <right/>
      <top style="thin">
        <color rgb="FFE2AC00"/>
      </top>
      <bottom style="thin">
        <color rgb="FFFFC000"/>
      </bottom>
      <diagonal/>
    </border>
    <border>
      <left/>
      <right/>
      <top style="thin">
        <color rgb="FFE2AC00"/>
      </top>
      <bottom style="thin">
        <color rgb="FFFFC000"/>
      </bottom>
      <diagonal/>
    </border>
    <border>
      <left/>
      <right style="thin">
        <color rgb="FFE2AC00"/>
      </right>
      <top style="thin">
        <color rgb="FFE2AC00"/>
      </top>
      <bottom style="thin">
        <color rgb="FFFFC000"/>
      </bottom>
      <diagonal/>
    </border>
    <border>
      <left/>
      <right style="thin">
        <color rgb="FFE2AC00"/>
      </right>
      <top style="thin">
        <color rgb="FFFFC000"/>
      </top>
      <bottom/>
      <diagonal/>
    </border>
    <border>
      <left/>
      <right style="thin">
        <color rgb="FFE2AC00"/>
      </right>
      <top/>
      <bottom style="thin">
        <color rgb="FFFFC000"/>
      </bottom>
      <diagonal/>
    </border>
    <border>
      <left style="thin">
        <color rgb="FFE2AC00"/>
      </left>
      <right style="thin">
        <color rgb="FFFFC000"/>
      </right>
      <top style="thin">
        <color rgb="FFE2AC00"/>
      </top>
      <bottom style="thin">
        <color rgb="FFE2AC00"/>
      </bottom>
      <diagonal/>
    </border>
    <border>
      <left/>
      <right style="thin">
        <color rgb="FFE2AC00"/>
      </right>
      <top/>
      <bottom/>
      <diagonal/>
    </border>
    <border>
      <left style="medium">
        <color rgb="FF85BD5F"/>
      </left>
      <right/>
      <top style="medium">
        <color rgb="FF85BD5F"/>
      </top>
      <bottom/>
      <diagonal/>
    </border>
    <border>
      <left/>
      <right/>
      <top style="medium">
        <color rgb="FF85BD5F"/>
      </top>
      <bottom/>
      <diagonal/>
    </border>
    <border>
      <left/>
      <right style="medium">
        <color rgb="FF85BD5F"/>
      </right>
      <top style="medium">
        <color rgb="FF85BD5F"/>
      </top>
      <bottom/>
      <diagonal/>
    </border>
    <border>
      <left style="medium">
        <color rgb="FF85BD5F"/>
      </left>
      <right/>
      <top/>
      <bottom/>
      <diagonal/>
    </border>
    <border>
      <left style="medium">
        <color rgb="FF85BD5F"/>
      </left>
      <right/>
      <top/>
      <bottom style="medium">
        <color rgb="FF85BD5F"/>
      </bottom>
      <diagonal/>
    </border>
    <border>
      <left style="medium">
        <color rgb="FFA3D961"/>
      </left>
      <right/>
      <top/>
      <bottom style="medium">
        <color rgb="FFA3D961"/>
      </bottom>
      <diagonal/>
    </border>
    <border>
      <left style="medium">
        <color rgb="FF85BD5F"/>
      </left>
      <right style="thin">
        <color rgb="FFA3D961"/>
      </right>
      <top/>
      <bottom style="medium">
        <color rgb="FFA3D961"/>
      </bottom>
      <diagonal/>
    </border>
    <border>
      <left style="medium">
        <color rgb="FF85BD5F"/>
      </left>
      <right style="thin">
        <color rgb="FFA3D961"/>
      </right>
      <top style="medium">
        <color rgb="FFA3D961"/>
      </top>
      <bottom style="medium">
        <color rgb="FFA3D961"/>
      </bottom>
      <diagonal/>
    </border>
    <border>
      <left/>
      <right style="thin">
        <color rgb="FFA3D961"/>
      </right>
      <top style="medium">
        <color rgb="FFA3D961"/>
      </top>
      <bottom style="medium">
        <color rgb="FFA3D961"/>
      </bottom>
      <diagonal/>
    </border>
    <border>
      <left style="thin">
        <color rgb="FFA3D961"/>
      </left>
      <right style="medium">
        <color rgb="FFA3D961"/>
      </right>
      <top style="medium">
        <color rgb="FFA3D961"/>
      </top>
      <bottom style="medium">
        <color rgb="FFA3D961"/>
      </bottom>
      <diagonal/>
    </border>
    <border>
      <left style="medium">
        <color rgb="FFA3D961"/>
      </left>
      <right style="medium">
        <color rgb="FF85BD5F"/>
      </right>
      <top/>
      <bottom style="medium">
        <color rgb="FFA3D961"/>
      </bottom>
      <diagonal/>
    </border>
    <border>
      <left/>
      <right style="medium">
        <color rgb="FF85BD5F"/>
      </right>
      <top/>
      <bottom/>
      <diagonal/>
    </border>
    <border>
      <left style="thin">
        <color indexed="9"/>
      </left>
      <right/>
      <top/>
      <bottom/>
      <diagonal/>
    </border>
    <border>
      <left style="thin">
        <color indexed="9"/>
      </left>
      <right/>
      <top/>
      <bottom style="thin">
        <color indexed="9"/>
      </bottom>
      <diagonal/>
    </border>
    <border>
      <left style="thin">
        <color rgb="FFFFC000"/>
      </left>
      <right style="thin">
        <color rgb="FFE2AC00"/>
      </right>
      <top style="thin">
        <color rgb="FFFFC000"/>
      </top>
      <bottom style="thin">
        <color rgb="FFFFC000"/>
      </bottom>
      <diagonal/>
    </border>
    <border>
      <left style="thin">
        <color rgb="FFE2AC00"/>
      </left>
      <right style="thin">
        <color rgb="FFFFC000"/>
      </right>
      <top/>
      <bottom style="thin">
        <color rgb="FFE2AC00"/>
      </bottom>
      <diagonal/>
    </border>
    <border>
      <left style="thin">
        <color rgb="FFFFC000"/>
      </left>
      <right/>
      <top style="thin">
        <color rgb="FFFFC000"/>
      </top>
      <bottom style="thin">
        <color rgb="FFE2AC00"/>
      </bottom>
      <diagonal/>
    </border>
    <border>
      <left/>
      <right/>
      <top style="thin">
        <color rgb="FFFFC000"/>
      </top>
      <bottom style="thin">
        <color rgb="FFE2AC00"/>
      </bottom>
      <diagonal/>
    </border>
    <border>
      <left/>
      <right style="thin">
        <color rgb="FFE2AC00"/>
      </right>
      <top style="thin">
        <color rgb="FFFFC000"/>
      </top>
      <bottom style="thin">
        <color rgb="FFE2AC00"/>
      </bottom>
      <diagonal/>
    </border>
    <border>
      <left style="thin">
        <color rgb="FF014744"/>
      </left>
      <right style="thin">
        <color rgb="FF014744"/>
      </right>
      <top style="thin">
        <color rgb="FF014744"/>
      </top>
      <bottom style="thin">
        <color rgb="FF014744"/>
      </bottom>
      <diagonal/>
    </border>
    <border>
      <left style="thin">
        <color rgb="FF014744"/>
      </left>
      <right/>
      <top style="thin">
        <color rgb="FF014744"/>
      </top>
      <bottom style="thin">
        <color rgb="FF014744"/>
      </bottom>
      <diagonal/>
    </border>
    <border>
      <left/>
      <right style="thin">
        <color rgb="FF014744"/>
      </right>
      <top style="thin">
        <color rgb="FF014744"/>
      </top>
      <bottom style="thin">
        <color rgb="FF014744"/>
      </bottom>
      <diagonal/>
    </border>
    <border>
      <left/>
      <right/>
      <top style="thin">
        <color rgb="FF014744"/>
      </top>
      <bottom style="thin">
        <color rgb="FF014744"/>
      </bottom>
      <diagonal/>
    </border>
    <border>
      <left style="thin">
        <color rgb="FF02A39C"/>
      </left>
      <right style="thin">
        <color rgb="FF02A39C"/>
      </right>
      <top style="thin">
        <color rgb="FF02A39C"/>
      </top>
      <bottom style="thin">
        <color rgb="FF02A39C"/>
      </bottom>
      <diagonal/>
    </border>
    <border>
      <left style="thin">
        <color rgb="FF02A39C"/>
      </left>
      <right style="thin">
        <color rgb="FF02A39C"/>
      </right>
      <top style="thin">
        <color rgb="FF02A39C"/>
      </top>
      <bottom/>
      <diagonal/>
    </border>
    <border>
      <left style="thin">
        <color rgb="FF02A39C"/>
      </left>
      <right style="thin">
        <color rgb="FF02A39C"/>
      </right>
      <top/>
      <bottom/>
      <diagonal/>
    </border>
    <border>
      <left style="thin">
        <color rgb="FF02A39C"/>
      </left>
      <right style="thin">
        <color rgb="FF02A39C"/>
      </right>
      <top/>
      <bottom style="thin">
        <color rgb="FF02A39C"/>
      </bottom>
      <diagonal/>
    </border>
    <border>
      <left style="thin">
        <color indexed="9"/>
      </left>
      <right style="thin">
        <color indexed="9"/>
      </right>
      <top/>
      <bottom/>
      <diagonal/>
    </border>
    <border>
      <left style="thin">
        <color rgb="FF02A39C"/>
      </left>
      <right/>
      <top style="thin">
        <color rgb="FF02A39C"/>
      </top>
      <bottom style="thin">
        <color rgb="FF02A39C"/>
      </bottom>
      <diagonal/>
    </border>
    <border>
      <left/>
      <right style="thin">
        <color rgb="FF02A39C"/>
      </right>
      <top style="thin">
        <color rgb="FF02A39C"/>
      </top>
      <bottom style="thin">
        <color rgb="FF02A39C"/>
      </bottom>
      <diagonal/>
    </border>
    <border>
      <left style="thin">
        <color rgb="FF028882"/>
      </left>
      <right style="thin">
        <color rgb="FF028882"/>
      </right>
      <top style="thin">
        <color rgb="FF028882"/>
      </top>
      <bottom style="thin">
        <color rgb="FF028882"/>
      </bottom>
      <diagonal/>
    </border>
    <border>
      <left style="thin">
        <color rgb="FF028882"/>
      </left>
      <right style="thin">
        <color rgb="FF000000"/>
      </right>
      <top style="thin">
        <color rgb="FF028882"/>
      </top>
      <bottom style="thin">
        <color rgb="FF000000"/>
      </bottom>
      <diagonal/>
    </border>
    <border>
      <left style="thin">
        <color rgb="FF028882"/>
      </left>
      <right style="thin">
        <color rgb="FF000000"/>
      </right>
      <top style="thin">
        <color rgb="FF000000"/>
      </top>
      <bottom style="thin">
        <color rgb="FF000000"/>
      </bottom>
      <diagonal/>
    </border>
    <border>
      <left style="thin">
        <color rgb="FF000000"/>
      </left>
      <right style="thin">
        <color rgb="FF028882"/>
      </right>
      <top style="thin">
        <color rgb="FF000000"/>
      </top>
      <bottom style="thin">
        <color rgb="FF000000"/>
      </bottom>
      <diagonal/>
    </border>
    <border>
      <left style="thin">
        <color rgb="FF028882"/>
      </left>
      <right style="thin">
        <color rgb="FF000000"/>
      </right>
      <top style="thin">
        <color rgb="FF000000"/>
      </top>
      <bottom style="thin">
        <color rgb="FF028882"/>
      </bottom>
      <diagonal/>
    </border>
    <border>
      <left style="thin">
        <color rgb="FF000000"/>
      </left>
      <right style="thin">
        <color rgb="FF028882"/>
      </right>
      <top style="thin">
        <color rgb="FF000000"/>
      </top>
      <bottom style="thin">
        <color rgb="FF028882"/>
      </bottom>
      <diagonal/>
    </border>
    <border>
      <left style="thin">
        <color rgb="FF028882"/>
      </left>
      <right style="thin">
        <color rgb="FF028882"/>
      </right>
      <top style="thin">
        <color rgb="FF028882"/>
      </top>
      <bottom style="thin">
        <color rgb="FF000000"/>
      </bottom>
      <diagonal/>
    </border>
    <border>
      <left style="thin">
        <color rgb="FF028882"/>
      </left>
      <right style="thin">
        <color rgb="FF028882"/>
      </right>
      <top style="thin">
        <color rgb="FF000000"/>
      </top>
      <bottom style="thin">
        <color rgb="FF000000"/>
      </bottom>
      <diagonal/>
    </border>
    <border>
      <left style="thin">
        <color rgb="FF028882"/>
      </left>
      <right style="thin">
        <color rgb="FF028882"/>
      </right>
      <top style="thin">
        <color rgb="FF000000"/>
      </top>
      <bottom style="thin">
        <color rgb="FF028882"/>
      </bottom>
      <diagonal/>
    </border>
    <border>
      <left style="thin">
        <color rgb="FFA3D961"/>
      </left>
      <right/>
      <top/>
      <bottom/>
      <diagonal/>
    </border>
    <border>
      <left style="thin">
        <color rgb="FFA3D961"/>
      </left>
      <right/>
      <top/>
      <bottom style="thin">
        <color theme="1"/>
      </bottom>
      <diagonal/>
    </border>
    <border>
      <left style="thin">
        <color rgb="FFA3D961"/>
      </left>
      <right/>
      <top style="thin">
        <color rgb="FFA3D961"/>
      </top>
      <bottom style="thin">
        <color rgb="FF000000"/>
      </bottom>
      <diagonal/>
    </border>
    <border>
      <left/>
      <right/>
      <top/>
      <bottom style="thin">
        <color rgb="FF000000"/>
      </bottom>
      <diagonal/>
    </border>
    <border>
      <left style="medium">
        <color rgb="FFA3D961"/>
      </left>
      <right style="medium">
        <color rgb="FFA3D961"/>
      </right>
      <top style="medium">
        <color rgb="FFA3D961"/>
      </top>
      <bottom style="medium">
        <color rgb="FFA3D961"/>
      </bottom>
      <diagonal/>
    </border>
    <border>
      <left style="medium">
        <color rgb="FFA3D961"/>
      </left>
      <right style="thin">
        <color rgb="FFA3D961"/>
      </right>
      <top style="medium">
        <color rgb="FFA3D961"/>
      </top>
      <bottom style="thin">
        <color rgb="FFA3D961"/>
      </bottom>
      <diagonal/>
    </border>
    <border>
      <left style="thin">
        <color rgb="FFA3D961"/>
      </left>
      <right style="medium">
        <color rgb="FFA3D961"/>
      </right>
      <top style="medium">
        <color rgb="FFA3D961"/>
      </top>
      <bottom style="thin">
        <color rgb="FFA3D961"/>
      </bottom>
      <diagonal/>
    </border>
    <border>
      <left style="medium">
        <color rgb="FFA3D961"/>
      </left>
      <right style="thin">
        <color rgb="FFA3D961"/>
      </right>
      <top style="thin">
        <color rgb="FFA3D961"/>
      </top>
      <bottom style="medium">
        <color rgb="FFA3D961"/>
      </bottom>
      <diagonal/>
    </border>
    <border>
      <left style="thin">
        <color rgb="FFA3D961"/>
      </left>
      <right style="medium">
        <color rgb="FFA3D961"/>
      </right>
      <top style="thin">
        <color rgb="FFA3D961"/>
      </top>
      <bottom style="medium">
        <color rgb="FFA3D961"/>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A3D961"/>
      </left>
      <right style="medium">
        <color rgb="FFA3D961"/>
      </right>
      <top style="medium">
        <color rgb="FFA3D961"/>
      </top>
      <bottom/>
      <diagonal/>
    </border>
    <border>
      <left style="medium">
        <color rgb="FFA3D961"/>
      </left>
      <right style="medium">
        <color rgb="FFA3D961"/>
      </right>
      <top style="medium">
        <color rgb="FFA3D961"/>
      </top>
      <bottom style="thin">
        <color rgb="FFA3D961"/>
      </bottom>
      <diagonal/>
    </border>
    <border>
      <left style="medium">
        <color rgb="FFA3D961"/>
      </left>
      <right style="medium">
        <color rgb="FFA3D961"/>
      </right>
      <top style="thin">
        <color rgb="FFA3D961"/>
      </top>
      <bottom style="medium">
        <color rgb="FFA3D961"/>
      </bottom>
      <diagonal/>
    </border>
    <border>
      <left style="thin">
        <color rgb="FFA3D961"/>
      </left>
      <right style="medium">
        <color rgb="FF92D050"/>
      </right>
      <top style="medium">
        <color rgb="FFA3D961"/>
      </top>
      <bottom/>
      <diagonal/>
    </border>
    <border>
      <left style="medium">
        <color rgb="FF92D050"/>
      </left>
      <right style="thin">
        <color rgb="FFA3D961"/>
      </right>
      <top style="medium">
        <color rgb="FFA3D961"/>
      </top>
      <bottom/>
      <diagonal/>
    </border>
    <border>
      <left style="medium">
        <color rgb="FFA3D961"/>
      </left>
      <right style="thin">
        <color rgb="FFA3D961"/>
      </right>
      <top style="medium">
        <color rgb="FFA3D961"/>
      </top>
      <bottom/>
      <diagonal/>
    </border>
    <border>
      <left style="thin">
        <color rgb="FFA3D961"/>
      </left>
      <right style="medium">
        <color rgb="FF92D050"/>
      </right>
      <top style="medium">
        <color rgb="FFA3D961"/>
      </top>
      <bottom style="medium">
        <color rgb="FF92D050"/>
      </bottom>
      <diagonal/>
    </border>
    <border>
      <left style="medium">
        <color rgb="FF92D050"/>
      </left>
      <right style="thin">
        <color rgb="FFA3D961"/>
      </right>
      <top style="medium">
        <color rgb="FFA3D961"/>
      </top>
      <bottom style="medium">
        <color rgb="FF92D050"/>
      </bottom>
      <diagonal/>
    </border>
    <border>
      <left style="medium">
        <color rgb="FFA3D961"/>
      </left>
      <right style="medium">
        <color rgb="FFA3D961"/>
      </right>
      <top/>
      <bottom style="medium">
        <color rgb="FFA3D961"/>
      </bottom>
      <diagonal/>
    </border>
    <border>
      <left style="medium">
        <color rgb="FFA3D961"/>
      </left>
      <right style="medium">
        <color rgb="FFA3D961"/>
      </right>
      <top/>
      <bottom/>
      <diagonal/>
    </border>
    <border>
      <left/>
      <right style="medium">
        <color rgb="FFA3D961"/>
      </right>
      <top style="thin">
        <color rgb="FFA3D961"/>
      </top>
      <bottom style="medium">
        <color rgb="FFA3D961"/>
      </bottom>
      <diagonal/>
    </border>
    <border>
      <left style="medium">
        <color rgb="FF85BD5F"/>
      </left>
      <right style="medium">
        <color rgb="FF85BD5F"/>
      </right>
      <top style="medium">
        <color rgb="FFA3D961"/>
      </top>
      <bottom style="medium">
        <color rgb="FFA3D961"/>
      </bottom>
      <diagonal/>
    </border>
    <border>
      <left style="medium">
        <color rgb="FF92D050"/>
      </left>
      <right style="thin">
        <color rgb="FFA3D961"/>
      </right>
      <top style="medium">
        <color rgb="FFA3D961"/>
      </top>
      <bottom style="medium">
        <color rgb="FFA3D961"/>
      </bottom>
      <diagonal/>
    </border>
    <border>
      <left style="thin">
        <color rgb="FFA3D961"/>
      </left>
      <right style="medium">
        <color rgb="FF92D050"/>
      </right>
      <top style="medium">
        <color rgb="FFA3D961"/>
      </top>
      <bottom style="medium">
        <color rgb="FFA3D961"/>
      </bottom>
      <diagonal/>
    </border>
    <border>
      <left style="medium">
        <color rgb="FF92D050"/>
      </left>
      <right/>
      <top style="medium">
        <color rgb="FFA3D961"/>
      </top>
      <bottom style="medium">
        <color rgb="FFA3D961"/>
      </bottom>
      <diagonal/>
    </border>
    <border>
      <left/>
      <right style="medium">
        <color rgb="FFA3D961"/>
      </right>
      <top style="medium">
        <color rgb="FFA3D961"/>
      </top>
      <bottom style="medium">
        <color rgb="FFA3D961"/>
      </bottom>
      <diagonal/>
    </border>
    <border>
      <left style="medium">
        <color rgb="FFA3D961"/>
      </left>
      <right style="thin">
        <color rgb="FFA3D961"/>
      </right>
      <top style="medium">
        <color rgb="FFA3D961"/>
      </top>
      <bottom style="medium">
        <color rgb="FFA3D961"/>
      </bottom>
      <diagonal/>
    </border>
    <border>
      <left style="thin">
        <color rgb="FFA3D961"/>
      </left>
      <right/>
      <top style="medium">
        <color rgb="FFA3D961"/>
      </top>
      <bottom style="medium">
        <color rgb="FFA3D961"/>
      </bottom>
      <diagonal/>
    </border>
    <border>
      <left style="thin">
        <color rgb="FF02AEA6"/>
      </left>
      <right/>
      <top/>
      <bottom style="thin">
        <color rgb="FF02AEA6"/>
      </bottom>
      <diagonal/>
    </border>
    <border>
      <left/>
      <right/>
      <top/>
      <bottom style="thin">
        <color rgb="FF02AEA6"/>
      </bottom>
      <diagonal/>
    </border>
    <border>
      <left/>
      <right style="thin">
        <color rgb="FF02AEA6"/>
      </right>
      <top/>
      <bottom style="thin">
        <color rgb="FF02AEA6"/>
      </bottom>
      <diagonal/>
    </border>
    <border>
      <left style="medium">
        <color rgb="FF92D050"/>
      </left>
      <right style="thin">
        <color rgb="FFA3D961"/>
      </right>
      <top/>
      <bottom style="medium">
        <color rgb="FFA3D961"/>
      </bottom>
      <diagonal/>
    </border>
    <border>
      <left style="thin">
        <color rgb="FFA3D961"/>
      </left>
      <right style="medium">
        <color rgb="FF92D050"/>
      </right>
      <top/>
      <bottom style="medium">
        <color rgb="FFA3D961"/>
      </bottom>
      <diagonal/>
    </border>
    <border>
      <left style="medium">
        <color rgb="FFA3D961"/>
      </left>
      <right style="thin">
        <color rgb="FFA3D961"/>
      </right>
      <top/>
      <bottom/>
      <diagonal/>
    </border>
    <border>
      <left/>
      <right style="thin">
        <color rgb="FFA3D961"/>
      </right>
      <top style="thin">
        <color rgb="FFA3D961"/>
      </top>
      <bottom style="medium">
        <color rgb="FFA3D961"/>
      </bottom>
      <diagonal/>
    </border>
    <border>
      <left style="medium">
        <color rgb="FFEFEFEF"/>
      </left>
      <right/>
      <top style="medium">
        <color rgb="FFEFEFEF"/>
      </top>
      <bottom/>
      <diagonal/>
    </border>
    <border>
      <left/>
      <right/>
      <top style="medium">
        <color rgb="FFEFEFEF"/>
      </top>
      <bottom/>
      <diagonal/>
    </border>
    <border>
      <left/>
      <right style="medium">
        <color rgb="FFAFAFAF"/>
      </right>
      <top style="medium">
        <color rgb="FFEFEFEF"/>
      </top>
      <bottom/>
      <diagonal/>
    </border>
    <border>
      <left style="medium">
        <color rgb="FFEFEFEF"/>
      </left>
      <right/>
      <top/>
      <bottom/>
      <diagonal/>
    </border>
    <border>
      <left/>
      <right style="medium">
        <color rgb="FFAFAFAF"/>
      </right>
      <top/>
      <bottom/>
      <diagonal/>
    </border>
    <border>
      <left style="medium">
        <color rgb="FFEFEFEF"/>
      </left>
      <right/>
      <top/>
      <bottom style="medium">
        <color rgb="FFAFAFAF"/>
      </bottom>
      <diagonal/>
    </border>
    <border>
      <left/>
      <right/>
      <top/>
      <bottom style="medium">
        <color rgb="FFAFAFAF"/>
      </bottom>
      <diagonal/>
    </border>
    <border>
      <left/>
      <right style="medium">
        <color rgb="FFAFAFAF"/>
      </right>
      <top/>
      <bottom style="medium">
        <color rgb="FFAFAFAF"/>
      </bottom>
      <diagonal/>
    </border>
    <border>
      <left style="medium">
        <color indexed="64"/>
      </left>
      <right style="thin">
        <color indexed="64"/>
      </right>
      <top style="medium">
        <color indexed="64"/>
      </top>
      <bottom/>
      <diagonal/>
    </border>
    <border>
      <left style="dashed">
        <color rgb="FF02A39C"/>
      </left>
      <right style="medium">
        <color indexed="64"/>
      </right>
      <top style="medium">
        <color indexed="64"/>
      </top>
      <bottom style="dashed">
        <color rgb="FF02A39C"/>
      </bottom>
      <diagonal/>
    </border>
    <border>
      <left style="medium">
        <color indexed="64"/>
      </left>
      <right style="dashed">
        <color rgb="FF02A39C"/>
      </right>
      <top style="medium">
        <color indexed="64"/>
      </top>
      <bottom/>
      <diagonal/>
    </border>
    <border>
      <left style="medium">
        <color indexed="64"/>
      </left>
      <right style="dashed">
        <color rgb="FF02A39C"/>
      </right>
      <top/>
      <bottom/>
      <diagonal/>
    </border>
    <border>
      <left style="dashed">
        <color rgb="FF02A39C"/>
      </left>
      <right style="medium">
        <color indexed="64"/>
      </right>
      <top style="dashed">
        <color rgb="FF02A39C"/>
      </top>
      <bottom style="dashed">
        <color rgb="FF02A39C"/>
      </bottom>
      <diagonal/>
    </border>
    <border>
      <left style="medium">
        <color indexed="64"/>
      </left>
      <right style="dashed">
        <color rgb="FF02A39C"/>
      </right>
      <top/>
      <bottom style="medium">
        <color indexed="64"/>
      </bottom>
      <diagonal/>
    </border>
    <border>
      <left style="dashed">
        <color rgb="FF02A39C"/>
      </left>
      <right style="medium">
        <color indexed="64"/>
      </right>
      <top style="dashed">
        <color rgb="FF02A39C"/>
      </top>
      <bottom style="medium">
        <color indexed="64"/>
      </bottom>
      <diagonal/>
    </border>
    <border>
      <left style="thin">
        <color indexed="64"/>
      </left>
      <right style="thick">
        <color rgb="FF02A39C"/>
      </right>
      <top style="thin">
        <color indexed="64"/>
      </top>
      <bottom style="medium">
        <color indexed="64"/>
      </bottom>
      <diagonal/>
    </border>
    <border>
      <left/>
      <right/>
      <top/>
      <bottom style="thin">
        <color rgb="FFE2AC00"/>
      </bottom>
      <diagonal/>
    </border>
  </borders>
  <cellStyleXfs count="246">
    <xf numFmtId="0" fontId="0" fillId="0" borderId="0"/>
    <xf numFmtId="165" fontId="13" fillId="0" borderId="0" applyFont="0" applyFill="0" applyBorder="0" applyAlignment="0" applyProtection="0"/>
    <xf numFmtId="0" fontId="16" fillId="0" borderId="0" applyNumberFormat="0" applyFill="0" applyBorder="0" applyAlignment="0" applyProtection="0"/>
    <xf numFmtId="0" fontId="13" fillId="11" borderId="0" applyNumberFormat="0" applyFont="0" applyBorder="0" applyAlignment="0" applyProtection="0"/>
    <xf numFmtId="0" fontId="13" fillId="12" borderId="0" applyNumberFormat="0" applyFont="0" applyBorder="0" applyAlignment="0">
      <protection locked="0"/>
    </xf>
    <xf numFmtId="168" fontId="20" fillId="10" borderId="0" applyNumberFormat="0" applyBorder="0" applyAlignment="0">
      <alignment horizontal="left" vertical="center"/>
    </xf>
    <xf numFmtId="0" fontId="13" fillId="0" borderId="0"/>
    <xf numFmtId="0" fontId="18" fillId="19" borderId="30" applyNumberFormat="0" applyAlignment="0" applyProtection="0"/>
    <xf numFmtId="0" fontId="14" fillId="0" borderId="0"/>
    <xf numFmtId="0" fontId="64" fillId="0" borderId="0"/>
    <xf numFmtId="0" fontId="13" fillId="0" borderId="0"/>
    <xf numFmtId="0" fontId="13" fillId="0" borderId="0"/>
    <xf numFmtId="0" fontId="65" fillId="0" borderId="12" applyNumberFormat="0" applyBorder="0" applyProtection="0">
      <alignment horizontal="center"/>
    </xf>
    <xf numFmtId="173" fontId="13" fillId="0" borderId="0" applyFont="0" applyFill="0" applyBorder="0" applyAlignment="0" applyProtection="0"/>
    <xf numFmtId="173" fontId="13" fillId="0" borderId="0" applyFont="0" applyFill="0" applyBorder="0" applyAlignment="0" applyProtection="0"/>
    <xf numFmtId="173" fontId="70" fillId="0" borderId="0" applyFont="0" applyFill="0" applyBorder="0" applyAlignment="0" applyProtection="0"/>
    <xf numFmtId="164" fontId="13" fillId="0" borderId="0" applyFont="0" applyFill="0" applyBorder="0" applyAlignment="0" applyProtection="0"/>
    <xf numFmtId="0" fontId="66" fillId="0" borderId="0" applyFill="0" applyBorder="0" applyProtection="0"/>
    <xf numFmtId="0" fontId="73"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0" fillId="0" borderId="0"/>
    <xf numFmtId="0" fontId="13" fillId="0" borderId="0"/>
    <xf numFmtId="0" fontId="13" fillId="0" borderId="0"/>
    <xf numFmtId="0" fontId="13" fillId="0" borderId="0"/>
    <xf numFmtId="0" fontId="7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23" borderId="7" applyNumberFormat="0" applyBorder="0" applyProtection="0">
      <alignment horizont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2" fillId="0" borderId="0" applyFont="0" applyFill="0" applyBorder="0" applyAlignment="0" applyProtection="0"/>
    <xf numFmtId="0" fontId="69" fillId="0" borderId="0" applyNumberFormat="0" applyFill="0" applyProtection="0"/>
    <xf numFmtId="0" fontId="65" fillId="0" borderId="0" applyNumberFormat="0" applyFill="0" applyBorder="0" applyProtection="0">
      <alignment horizontal="left"/>
    </xf>
    <xf numFmtId="173" fontId="14"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cellStyleXfs>
  <cellXfs count="1712">
    <xf numFmtId="0" fontId="0" fillId="0" borderId="0" xfId="0"/>
    <xf numFmtId="0" fontId="0" fillId="0" borderId="0" xfId="0" applyAlignment="1">
      <alignment horizontal="center" vertical="center"/>
    </xf>
    <xf numFmtId="0" fontId="0" fillId="0" borderId="0" xfId="0" applyAlignment="1">
      <alignment horizontal="center"/>
    </xf>
    <xf numFmtId="0" fontId="12" fillId="0" borderId="0" xfId="0" applyFont="1"/>
    <xf numFmtId="0" fontId="0" fillId="4" borderId="0" xfId="0" applyFill="1"/>
    <xf numFmtId="0" fontId="27" fillId="0" borderId="0" xfId="0" applyFont="1"/>
    <xf numFmtId="0" fontId="27" fillId="13" borderId="0" xfId="0" applyFont="1" applyFill="1"/>
    <xf numFmtId="0" fontId="29" fillId="0" borderId="0" xfId="0" applyFont="1"/>
    <xf numFmtId="0" fontId="29" fillId="13" borderId="0" xfId="0" applyFont="1" applyFill="1"/>
    <xf numFmtId="0" fontId="32" fillId="0" borderId="0" xfId="0" applyFont="1"/>
    <xf numFmtId="0" fontId="31" fillId="5" borderId="7" xfId="0" applyFont="1" applyFill="1" applyBorder="1" applyAlignment="1">
      <alignment horizontal="center" vertical="center"/>
    </xf>
    <xf numFmtId="0" fontId="29" fillId="2" borderId="0" xfId="0" applyFont="1" applyFill="1"/>
    <xf numFmtId="0" fontId="31" fillId="3" borderId="7" xfId="0" applyFont="1" applyFill="1" applyBorder="1" applyAlignment="1">
      <alignment horizontal="center" vertical="center"/>
    </xf>
    <xf numFmtId="0" fontId="31" fillId="4" borderId="7" xfId="0" applyFont="1" applyFill="1" applyBorder="1" applyAlignment="1">
      <alignment horizontal="center" vertical="center"/>
    </xf>
    <xf numFmtId="0" fontId="29" fillId="0" borderId="0" xfId="0" applyFont="1" applyAlignment="1">
      <alignment vertical="center"/>
    </xf>
    <xf numFmtId="0" fontId="28" fillId="0" borderId="0" xfId="0" applyFont="1"/>
    <xf numFmtId="0" fontId="29" fillId="13" borderId="0" xfId="0" applyFont="1" applyFill="1" applyAlignment="1">
      <alignment horizontal="left" vertical="center"/>
    </xf>
    <xf numFmtId="0" fontId="29" fillId="13" borderId="0" xfId="0" quotePrefix="1" applyFont="1" applyFill="1" applyAlignment="1">
      <alignment horizontal="left" vertical="center"/>
    </xf>
    <xf numFmtId="0" fontId="27" fillId="0" borderId="0" xfId="0" applyFont="1" applyAlignment="1">
      <alignment horizontal="center" vertical="center"/>
    </xf>
    <xf numFmtId="0" fontId="27" fillId="0" borderId="0" xfId="0" applyFont="1" applyAlignment="1">
      <alignment horizontal="center"/>
    </xf>
    <xf numFmtId="0" fontId="27" fillId="0" borderId="0" xfId="0" applyFont="1" applyAlignment="1">
      <alignment wrapText="1"/>
    </xf>
    <xf numFmtId="0" fontId="31" fillId="8" borderId="7" xfId="0" applyFont="1" applyFill="1" applyBorder="1" applyAlignment="1">
      <alignment horizontal="center" vertical="center"/>
    </xf>
    <xf numFmtId="0" fontId="31" fillId="0" borderId="0" xfId="0" applyFont="1" applyAlignment="1">
      <alignment horizontal="center" vertical="center"/>
    </xf>
    <xf numFmtId="0" fontId="31" fillId="8" borderId="7" xfId="0" applyFont="1" applyFill="1" applyBorder="1" applyAlignment="1">
      <alignment horizontal="center" vertical="center" wrapText="1"/>
    </xf>
    <xf numFmtId="0" fontId="34" fillId="0" borderId="0" xfId="0" applyFont="1"/>
    <xf numFmtId="0" fontId="27" fillId="13" borderId="0" xfId="0" applyFont="1" applyFill="1" applyAlignment="1">
      <alignment horizontal="left" vertical="center"/>
    </xf>
    <xf numFmtId="0" fontId="35" fillId="0" borderId="0" xfId="0" applyFont="1"/>
    <xf numFmtId="0" fontId="34" fillId="0" borderId="0" xfId="0" applyFont="1" applyAlignment="1">
      <alignment horizontal="left" vertical="center"/>
    </xf>
    <xf numFmtId="0" fontId="36" fillId="0" borderId="0" xfId="0" applyFont="1"/>
    <xf numFmtId="0" fontId="26" fillId="0" borderId="0" xfId="0" applyFont="1" applyAlignment="1">
      <alignment horizontal="left" vertical="center"/>
    </xf>
    <xf numFmtId="0" fontId="32" fillId="13" borderId="0" xfId="0" quotePrefix="1" applyFont="1" applyFill="1" applyAlignment="1">
      <alignment vertical="center" wrapText="1"/>
    </xf>
    <xf numFmtId="0" fontId="27" fillId="0" borderId="0" xfId="0" applyFont="1" applyAlignment="1">
      <alignment horizontal="left"/>
    </xf>
    <xf numFmtId="0" fontId="29" fillId="0" borderId="0" xfId="0" quotePrefix="1" applyFont="1" applyAlignment="1">
      <alignment horizontal="left" vertical="center"/>
    </xf>
    <xf numFmtId="0" fontId="29" fillId="0" borderId="0" xfId="0" applyFont="1" applyAlignment="1">
      <alignment horizontal="left" vertical="center"/>
    </xf>
    <xf numFmtId="0" fontId="32" fillId="0" borderId="0" xfId="0" quotePrefix="1" applyFont="1"/>
    <xf numFmtId="0" fontId="27" fillId="13" borderId="0" xfId="0" applyFont="1" applyFill="1" applyAlignment="1">
      <alignment horizontal="center" vertical="center"/>
    </xf>
    <xf numFmtId="0" fontId="34" fillId="13" borderId="0" xfId="0" applyFont="1" applyFill="1"/>
    <xf numFmtId="0" fontId="27" fillId="13" borderId="0" xfId="0" applyFont="1" applyFill="1" applyAlignment="1">
      <alignment vertical="center"/>
    </xf>
    <xf numFmtId="0" fontId="29" fillId="13" borderId="0" xfId="0" applyFont="1" applyFill="1" applyAlignment="1">
      <alignment vertical="center"/>
    </xf>
    <xf numFmtId="1" fontId="27" fillId="6" borderId="7" xfId="0" applyNumberFormat="1" applyFont="1" applyFill="1" applyBorder="1" applyAlignment="1" applyProtection="1">
      <alignment horizontal="center" vertical="center"/>
      <protection locked="0"/>
    </xf>
    <xf numFmtId="171" fontId="27" fillId="6" borderId="7" xfId="0" applyNumberFormat="1" applyFont="1" applyFill="1" applyBorder="1" applyAlignment="1" applyProtection="1">
      <alignment horizontal="center" vertical="center"/>
      <protection locked="0"/>
    </xf>
    <xf numFmtId="0" fontId="0" fillId="0" borderId="0" xfId="0" applyAlignment="1">
      <alignment vertical="top" wrapText="1"/>
    </xf>
    <xf numFmtId="0" fontId="0" fillId="0" borderId="0" xfId="0" applyAlignment="1">
      <alignment vertical="top"/>
    </xf>
    <xf numFmtId="0" fontId="0" fillId="0" borderId="0" xfId="0" applyAlignment="1">
      <alignment vertical="center"/>
    </xf>
    <xf numFmtId="0" fontId="0" fillId="0" borderId="0" xfId="0" applyAlignment="1">
      <alignment horizontal="left" vertical="center" wrapText="1"/>
    </xf>
    <xf numFmtId="0" fontId="0" fillId="0" borderId="0" xfId="0" applyAlignment="1">
      <alignment horizontal="left"/>
    </xf>
    <xf numFmtId="0" fontId="0" fillId="0" borderId="0" xfId="0" applyAlignment="1">
      <alignment wrapText="1"/>
    </xf>
    <xf numFmtId="0" fontId="16" fillId="0" borderId="0" xfId="2"/>
    <xf numFmtId="0" fontId="39" fillId="0" borderId="0" xfId="0" applyFont="1"/>
    <xf numFmtId="0" fontId="40" fillId="0" borderId="0" xfId="0" applyFont="1" applyAlignment="1">
      <alignment horizontal="left"/>
    </xf>
    <xf numFmtId="0" fontId="42" fillId="0" borderId="0" xfId="0" applyFont="1"/>
    <xf numFmtId="0" fontId="15" fillId="0" borderId="0" xfId="0" applyFont="1" applyAlignment="1">
      <alignment horizontal="center" vertical="center"/>
    </xf>
    <xf numFmtId="0" fontId="45" fillId="4" borderId="0" xfId="0" applyFont="1" applyFill="1" applyAlignment="1">
      <alignment vertical="center"/>
    </xf>
    <xf numFmtId="0" fontId="41" fillId="0" borderId="0" xfId="0" applyFont="1" applyAlignment="1">
      <alignment horizontal="center" vertical="center"/>
    </xf>
    <xf numFmtId="0" fontId="39" fillId="0" borderId="0" xfId="0" applyFont="1" applyAlignment="1">
      <alignment horizontal="center" vertical="center" wrapText="1"/>
    </xf>
    <xf numFmtId="0" fontId="39" fillId="0" borderId="0" xfId="0" applyFont="1" applyAlignment="1">
      <alignment vertical="center"/>
    </xf>
    <xf numFmtId="0" fontId="50" fillId="0" borderId="0" xfId="0" applyFont="1" applyAlignment="1">
      <alignment vertical="center"/>
    </xf>
    <xf numFmtId="0" fontId="50" fillId="4" borderId="32" xfId="0" applyFont="1" applyFill="1" applyBorder="1" applyAlignment="1">
      <alignment vertical="center"/>
    </xf>
    <xf numFmtId="0" fontId="50" fillId="4" borderId="41" xfId="0" applyFont="1" applyFill="1" applyBorder="1" applyAlignment="1">
      <alignment vertical="center"/>
    </xf>
    <xf numFmtId="0" fontId="0" fillId="0" borderId="42" xfId="0" applyBorder="1"/>
    <xf numFmtId="0" fontId="0" fillId="0" borderId="43" xfId="0" applyBorder="1"/>
    <xf numFmtId="0" fontId="0" fillId="0" borderId="34" xfId="0" applyBorder="1"/>
    <xf numFmtId="0" fontId="0" fillId="0" borderId="33" xfId="0" applyBorder="1"/>
    <xf numFmtId="0" fontId="53" fillId="0" borderId="0" xfId="0" applyFont="1" applyAlignment="1">
      <alignment vertical="center" wrapText="1"/>
    </xf>
    <xf numFmtId="0" fontId="39" fillId="0" borderId="0" xfId="0" applyFont="1" applyAlignment="1">
      <alignment horizontal="left" vertical="center" wrapText="1"/>
    </xf>
    <xf numFmtId="0" fontId="38" fillId="0" borderId="0" xfId="0" applyFont="1"/>
    <xf numFmtId="0" fontId="50" fillId="4" borderId="40" xfId="0" applyFont="1" applyFill="1" applyBorder="1" applyAlignment="1">
      <alignment vertical="center"/>
    </xf>
    <xf numFmtId="0" fontId="54" fillId="0" borderId="0" xfId="0" applyFont="1" applyAlignment="1">
      <alignment horizontal="center" vertical="center" wrapText="1"/>
    </xf>
    <xf numFmtId="0" fontId="41" fillId="0" borderId="43" xfId="0" applyFont="1" applyBorder="1" applyAlignment="1">
      <alignment horizontal="center" vertical="center"/>
    </xf>
    <xf numFmtId="0" fontId="39" fillId="0" borderId="43" xfId="0" applyFont="1" applyBorder="1" applyAlignment="1">
      <alignment horizontal="center" vertical="center" wrapText="1"/>
    </xf>
    <xf numFmtId="0" fontId="39" fillId="0" borderId="33" xfId="0" applyFont="1" applyBorder="1" applyAlignment="1">
      <alignment horizontal="center" vertical="center" wrapText="1"/>
    </xf>
    <xf numFmtId="0" fontId="46" fillId="0" borderId="52" xfId="0" applyFont="1" applyBorder="1" applyAlignment="1">
      <alignment horizontal="center" vertical="center" wrapText="1"/>
    </xf>
    <xf numFmtId="0" fontId="46" fillId="0" borderId="50" xfId="0" applyFont="1" applyBorder="1" applyAlignment="1">
      <alignment horizontal="center" vertical="center" wrapText="1"/>
    </xf>
    <xf numFmtId="0" fontId="46" fillId="0" borderId="45" xfId="0" applyFont="1" applyBorder="1" applyAlignment="1">
      <alignment horizontal="left" vertical="center" wrapText="1"/>
    </xf>
    <xf numFmtId="0" fontId="46" fillId="0" borderId="49" xfId="0" applyFont="1" applyBorder="1" applyAlignment="1">
      <alignment horizontal="center" vertical="center" wrapText="1"/>
    </xf>
    <xf numFmtId="0" fontId="39" fillId="0" borderId="31" xfId="0" applyFont="1" applyBorder="1" applyAlignment="1">
      <alignment horizontal="left" vertical="center" wrapText="1"/>
    </xf>
    <xf numFmtId="0" fontId="39" fillId="0" borderId="31" xfId="0" applyFont="1" applyBorder="1" applyAlignment="1">
      <alignment horizontal="center" vertical="center" wrapText="1"/>
    </xf>
    <xf numFmtId="0" fontId="46" fillId="0" borderId="53" xfId="0" applyFont="1" applyBorder="1" applyAlignment="1">
      <alignment horizontal="center" vertical="center" wrapText="1"/>
    </xf>
    <xf numFmtId="0" fontId="46" fillId="0" borderId="48" xfId="0" applyFont="1" applyBorder="1" applyAlignment="1">
      <alignment horizontal="center" vertical="center" wrapText="1"/>
    </xf>
    <xf numFmtId="0" fontId="43" fillId="0" borderId="0" xfId="0" applyFont="1" applyProtection="1">
      <protection locked="0"/>
    </xf>
    <xf numFmtId="0" fontId="33" fillId="0" borderId="0" xfId="0" applyFont="1" applyProtection="1">
      <protection locked="0"/>
    </xf>
    <xf numFmtId="0" fontId="35" fillId="0" borderId="0" xfId="0" applyFont="1" applyAlignment="1">
      <alignment horizontal="left" vertical="top"/>
    </xf>
    <xf numFmtId="0" fontId="46" fillId="20" borderId="52" xfId="0" applyFont="1" applyFill="1" applyBorder="1" applyAlignment="1">
      <alignment horizontal="center" vertical="center" wrapText="1"/>
    </xf>
    <xf numFmtId="0" fontId="55" fillId="0" borderId="48" xfId="0" applyFont="1" applyBorder="1" applyAlignment="1">
      <alignment horizontal="center" wrapText="1"/>
    </xf>
    <xf numFmtId="0" fontId="55" fillId="0" borderId="47" xfId="0" applyFont="1" applyBorder="1" applyAlignment="1">
      <alignment horizontal="center"/>
    </xf>
    <xf numFmtId="0" fontId="38" fillId="0" borderId="48" xfId="0" applyFont="1" applyBorder="1" applyAlignment="1">
      <alignment horizontal="center" wrapText="1"/>
    </xf>
    <xf numFmtId="0" fontId="46" fillId="20" borderId="50" xfId="0" applyFont="1" applyFill="1" applyBorder="1" applyAlignment="1">
      <alignment horizontal="center" vertical="center" wrapText="1"/>
    </xf>
    <xf numFmtId="0" fontId="46" fillId="0" borderId="0" xfId="0" applyFont="1" applyAlignment="1">
      <alignment horizontal="left" vertical="center" wrapText="1"/>
    </xf>
    <xf numFmtId="0" fontId="46" fillId="0" borderId="0" xfId="0" applyFont="1" applyAlignment="1">
      <alignment horizontal="center" vertical="center" wrapText="1"/>
    </xf>
    <xf numFmtId="0" fontId="46" fillId="0" borderId="0" xfId="0" applyFont="1" applyAlignment="1">
      <alignment horizontal="center" vertical="center"/>
    </xf>
    <xf numFmtId="0" fontId="57" fillId="0" borderId="0" xfId="0" applyFont="1" applyAlignment="1">
      <alignment vertical="center"/>
    </xf>
    <xf numFmtId="0" fontId="60" fillId="0" borderId="0" xfId="0" applyFont="1" applyAlignment="1">
      <alignment horizontal="left" wrapText="1"/>
    </xf>
    <xf numFmtId="0" fontId="59" fillId="0" borderId="0" xfId="0" applyFont="1" applyAlignment="1">
      <alignment horizontal="left" vertical="center"/>
    </xf>
    <xf numFmtId="0" fontId="55" fillId="0" borderId="0" xfId="0" applyFont="1" applyAlignment="1">
      <alignment horizontal="left" vertical="center"/>
    </xf>
    <xf numFmtId="0" fontId="55" fillId="0" borderId="0" xfId="0" applyFont="1" applyAlignment="1">
      <alignment horizontal="center" wrapText="1"/>
    </xf>
    <xf numFmtId="0" fontId="77" fillId="0" borderId="0" xfId="0" applyFont="1" applyAlignment="1">
      <alignment horizontal="left" vertical="center" wrapText="1"/>
    </xf>
    <xf numFmtId="0" fontId="77" fillId="0" borderId="0" xfId="0" applyFont="1" applyAlignment="1">
      <alignment vertical="center" wrapText="1"/>
    </xf>
    <xf numFmtId="0" fontId="46" fillId="9" borderId="45" xfId="0" applyFont="1" applyFill="1" applyBorder="1" applyAlignment="1">
      <alignment horizontal="left" vertical="center" wrapText="1"/>
    </xf>
    <xf numFmtId="0" fontId="78" fillId="0" borderId="0" xfId="0" applyFont="1" applyAlignment="1">
      <alignment horizontal="left" wrapText="1"/>
    </xf>
    <xf numFmtId="0" fontId="55" fillId="0" borderId="45" xfId="0" applyFont="1" applyBorder="1" applyAlignment="1">
      <alignment horizontal="left" vertical="center" wrapText="1"/>
    </xf>
    <xf numFmtId="0" fontId="12" fillId="0" borderId="0" xfId="0" applyFont="1" applyAlignment="1">
      <alignment horizontal="center" vertical="center"/>
    </xf>
    <xf numFmtId="0" fontId="79" fillId="0" borderId="0" xfId="0" applyFont="1" applyAlignment="1">
      <alignment horizontal="center" vertical="center" wrapText="1"/>
    </xf>
    <xf numFmtId="0" fontId="80" fillId="0" borderId="0" xfId="0" applyFont="1" applyAlignment="1">
      <alignment horizontal="center" vertical="center" wrapText="1"/>
    </xf>
    <xf numFmtId="0" fontId="80" fillId="0" borderId="0" xfId="0" applyFont="1" applyAlignment="1">
      <alignment horizontal="center"/>
    </xf>
    <xf numFmtId="0" fontId="16" fillId="0" borderId="0" xfId="2" applyAlignment="1">
      <alignment horizontal="center" vertical="center"/>
    </xf>
    <xf numFmtId="0" fontId="46" fillId="20" borderId="0" xfId="0" applyFont="1" applyFill="1" applyAlignment="1">
      <alignment horizontal="center" vertical="center" wrapText="1"/>
    </xf>
    <xf numFmtId="0" fontId="80" fillId="0" borderId="0" xfId="0" applyFont="1" applyAlignment="1">
      <alignment horizontal="center" vertical="center"/>
    </xf>
    <xf numFmtId="0" fontId="81" fillId="0" borderId="45" xfId="0" applyFont="1" applyBorder="1" applyAlignment="1">
      <alignment horizontal="left" vertical="center" wrapText="1"/>
    </xf>
    <xf numFmtId="0" fontId="79" fillId="7" borderId="20" xfId="0" applyFont="1" applyFill="1" applyBorder="1" applyAlignment="1">
      <alignment horizontal="center" vertical="center" wrapText="1"/>
    </xf>
    <xf numFmtId="0" fontId="80" fillId="0" borderId="17" xfId="0" applyFont="1" applyBorder="1" applyAlignment="1">
      <alignment horizontal="center" vertical="center" wrapText="1"/>
    </xf>
    <xf numFmtId="0" fontId="80" fillId="0" borderId="20" xfId="0" applyFont="1" applyBorder="1" applyAlignment="1">
      <alignment horizontal="center" vertical="center" wrapText="1"/>
    </xf>
    <xf numFmtId="0" fontId="79" fillId="7" borderId="17" xfId="0" applyFont="1" applyFill="1" applyBorder="1" applyAlignment="1">
      <alignment horizontal="center" vertical="center" wrapText="1"/>
    </xf>
    <xf numFmtId="0" fontId="79" fillId="7" borderId="18" xfId="0" applyFont="1" applyFill="1" applyBorder="1" applyAlignment="1">
      <alignment horizontal="center" vertical="center" wrapText="1"/>
    </xf>
    <xf numFmtId="0" fontId="80" fillId="0" borderId="18" xfId="0" applyFont="1" applyBorder="1" applyAlignment="1">
      <alignment horizontal="left" vertical="center" wrapText="1"/>
    </xf>
    <xf numFmtId="0" fontId="80" fillId="0" borderId="19" xfId="0" applyFont="1" applyBorder="1" applyAlignment="1">
      <alignment horizontal="center" vertical="center" wrapText="1"/>
    </xf>
    <xf numFmtId="0" fontId="59" fillId="4" borderId="0" xfId="0" applyFont="1" applyFill="1" applyAlignment="1">
      <alignment horizontal="left" vertical="center"/>
    </xf>
    <xf numFmtId="0" fontId="59" fillId="4" borderId="42" xfId="0" applyFont="1" applyFill="1" applyBorder="1" applyAlignment="1">
      <alignment horizontal="left" vertical="center"/>
    </xf>
    <xf numFmtId="0" fontId="82" fillId="4" borderId="7" xfId="0" applyFont="1" applyFill="1" applyBorder="1" applyAlignment="1">
      <alignment horizontal="center" vertical="center" wrapText="1"/>
    </xf>
    <xf numFmtId="0" fontId="51" fillId="0" borderId="7" xfId="0" applyFont="1" applyBorder="1" applyAlignment="1">
      <alignment horizontal="center" vertical="center"/>
    </xf>
    <xf numFmtId="166" fontId="80" fillId="0" borderId="17" xfId="0" applyNumberFormat="1" applyFont="1" applyBorder="1" applyAlignment="1">
      <alignment horizontal="center" vertical="center" wrapText="1"/>
    </xf>
    <xf numFmtId="0" fontId="84" fillId="24" borderId="0" xfId="0" applyFont="1" applyFill="1"/>
    <xf numFmtId="0" fontId="85" fillId="24" borderId="0" xfId="0" applyFont="1" applyFill="1"/>
    <xf numFmtId="0" fontId="85" fillId="24" borderId="0" xfId="0" applyFont="1" applyFill="1" applyAlignment="1">
      <alignment horizontal="center" vertical="center"/>
    </xf>
    <xf numFmtId="0" fontId="23" fillId="0" borderId="0" xfId="0" applyFont="1"/>
    <xf numFmtId="0" fontId="23" fillId="0" borderId="0" xfId="0" applyFont="1" applyAlignment="1">
      <alignment horizontal="center" vertical="center"/>
    </xf>
    <xf numFmtId="0" fontId="23" fillId="22" borderId="0" xfId="0" applyFont="1" applyFill="1"/>
    <xf numFmtId="0" fontId="24" fillId="22" borderId="0" xfId="0" applyFont="1" applyFill="1"/>
    <xf numFmtId="0" fontId="23" fillId="22" borderId="0" xfId="0" applyFont="1" applyFill="1" applyAlignment="1">
      <alignment horizontal="center" vertical="center"/>
    </xf>
    <xf numFmtId="0" fontId="80" fillId="0" borderId="0" xfId="0" applyFont="1"/>
    <xf numFmtId="0" fontId="80" fillId="0" borderId="0" xfId="0" applyFont="1" applyAlignment="1">
      <alignment vertical="center"/>
    </xf>
    <xf numFmtId="0" fontId="79" fillId="0" borderId="0" xfId="0" applyFont="1" applyAlignment="1">
      <alignment horizontal="center" vertical="center"/>
    </xf>
    <xf numFmtId="0" fontId="80" fillId="0" borderId="0" xfId="0" applyFont="1" applyAlignment="1">
      <alignment wrapText="1"/>
    </xf>
    <xf numFmtId="2" fontId="80" fillId="0" borderId="20" xfId="0" applyNumberFormat="1" applyFont="1" applyBorder="1" applyAlignment="1">
      <alignment horizontal="center" vertical="center" wrapText="1"/>
    </xf>
    <xf numFmtId="176" fontId="0" fillId="0" borderId="0" xfId="0" applyNumberFormat="1" applyAlignment="1">
      <alignment horizontal="center" vertical="center"/>
    </xf>
    <xf numFmtId="0" fontId="38" fillId="0" borderId="0" xfId="0" applyFont="1" applyAlignment="1">
      <alignment vertical="top"/>
    </xf>
    <xf numFmtId="0" fontId="46" fillId="20" borderId="48" xfId="0" applyFont="1" applyFill="1" applyBorder="1" applyAlignment="1">
      <alignment horizontal="center" vertical="center" wrapText="1"/>
    </xf>
    <xf numFmtId="0" fontId="87" fillId="28" borderId="0" xfId="0" applyFont="1" applyFill="1" applyAlignment="1">
      <alignment horizontal="center" vertical="center" wrapText="1"/>
    </xf>
    <xf numFmtId="0" fontId="89" fillId="0" borderId="0" xfId="0" applyFont="1" applyAlignment="1">
      <alignment vertical="center" wrapText="1"/>
    </xf>
    <xf numFmtId="0" fontId="46" fillId="0" borderId="0" xfId="0" applyFont="1" applyAlignment="1">
      <alignment vertical="center" wrapText="1"/>
    </xf>
    <xf numFmtId="0" fontId="90" fillId="0" borderId="0" xfId="0" applyFont="1"/>
    <xf numFmtId="1" fontId="51" fillId="0" borderId="7" xfId="0" applyNumberFormat="1" applyFont="1" applyBorder="1" applyAlignment="1">
      <alignment horizontal="center" vertical="center"/>
    </xf>
    <xf numFmtId="0" fontId="23" fillId="0" borderId="0" xfId="0" applyFont="1" applyAlignment="1">
      <alignment horizontal="center" vertical="center" wrapText="1"/>
    </xf>
    <xf numFmtId="0" fontId="23" fillId="28" borderId="0" xfId="0" applyFont="1" applyFill="1" applyAlignment="1">
      <alignment horizontal="center" vertical="center"/>
    </xf>
    <xf numFmtId="166" fontId="23" fillId="28" borderId="0" xfId="0" applyNumberFormat="1" applyFont="1" applyFill="1" applyAlignment="1">
      <alignment horizontal="center" vertical="center"/>
    </xf>
    <xf numFmtId="0" fontId="23" fillId="0" borderId="18" xfId="0" applyFont="1" applyBorder="1" applyAlignment="1">
      <alignment horizontal="center" vertical="center" wrapText="1"/>
    </xf>
    <xf numFmtId="166" fontId="23" fillId="28" borderId="20" xfId="0" applyNumberFormat="1" applyFont="1" applyFill="1" applyBorder="1" applyAlignment="1">
      <alignment horizontal="center" vertical="center" wrapText="1"/>
    </xf>
    <xf numFmtId="0" fontId="23" fillId="28" borderId="18" xfId="0" applyFont="1" applyFill="1" applyBorder="1" applyAlignment="1">
      <alignment horizontal="center" vertical="center" wrapText="1"/>
    </xf>
    <xf numFmtId="0" fontId="79" fillId="29" borderId="20" xfId="0" applyFont="1" applyFill="1" applyBorder="1" applyAlignment="1">
      <alignment horizontal="center" vertical="center" wrapText="1"/>
    </xf>
    <xf numFmtId="2" fontId="23" fillId="0" borderId="18" xfId="0" applyNumberFormat="1" applyFont="1" applyBorder="1" applyAlignment="1">
      <alignment horizontal="center" vertical="center" wrapText="1"/>
    </xf>
    <xf numFmtId="0" fontId="23" fillId="28" borderId="20" xfId="0" applyFont="1" applyFill="1" applyBorder="1" applyAlignment="1">
      <alignment horizontal="center" vertical="center" wrapText="1"/>
    </xf>
    <xf numFmtId="0" fontId="23" fillId="28" borderId="20" xfId="0" applyFont="1" applyFill="1" applyBorder="1" applyAlignment="1">
      <alignment horizontal="left" vertical="center" wrapText="1"/>
    </xf>
    <xf numFmtId="0" fontId="86" fillId="28" borderId="20" xfId="0" applyFont="1" applyFill="1" applyBorder="1" applyAlignment="1">
      <alignment horizontal="center" vertical="center" wrapText="1"/>
    </xf>
    <xf numFmtId="166" fontId="85" fillId="28" borderId="20" xfId="0" applyNumberFormat="1" applyFont="1" applyFill="1" applyBorder="1" applyAlignment="1">
      <alignment horizontal="center" vertical="center" wrapText="1"/>
    </xf>
    <xf numFmtId="0" fontId="85" fillId="28" borderId="18" xfId="0" applyFont="1" applyFill="1" applyBorder="1" applyAlignment="1">
      <alignment horizontal="center" vertical="center" wrapText="1"/>
    </xf>
    <xf numFmtId="0" fontId="24" fillId="22" borderId="17" xfId="0" applyFont="1" applyFill="1" applyBorder="1" applyAlignment="1">
      <alignment horizontal="left" vertical="center" wrapText="1"/>
    </xf>
    <xf numFmtId="0" fontId="23" fillId="22" borderId="20" xfId="0" applyFont="1" applyFill="1" applyBorder="1" applyAlignment="1">
      <alignment horizontal="left" vertical="center" wrapText="1"/>
    </xf>
    <xf numFmtId="0" fontId="23" fillId="0" borderId="18" xfId="0" applyFont="1" applyBorder="1" applyAlignment="1">
      <alignment horizontal="left" vertical="center" wrapText="1"/>
    </xf>
    <xf numFmtId="2" fontId="23" fillId="0" borderId="0" xfId="0" applyNumberFormat="1" applyFont="1" applyAlignment="1">
      <alignment horizontal="center" vertical="center" wrapText="1"/>
    </xf>
    <xf numFmtId="0" fontId="23" fillId="0" borderId="0" xfId="0" applyFont="1" applyAlignment="1">
      <alignment wrapText="1"/>
    </xf>
    <xf numFmtId="0" fontId="38" fillId="0" borderId="0" xfId="0" applyFont="1" applyAlignment="1">
      <alignment horizontal="center" vertical="center" wrapText="1"/>
    </xf>
    <xf numFmtId="0" fontId="80" fillId="0" borderId="0" xfId="0" applyFont="1" applyAlignment="1">
      <alignment horizontal="left" vertical="center" wrapText="1"/>
    </xf>
    <xf numFmtId="172" fontId="80" fillId="0" borderId="0" xfId="0" applyNumberFormat="1" applyFont="1" applyAlignment="1">
      <alignment horizontal="center" vertical="center" wrapText="1"/>
    </xf>
    <xf numFmtId="2" fontId="80" fillId="0" borderId="0" xfId="0" applyNumberFormat="1" applyFont="1" applyAlignment="1">
      <alignment horizontal="center" vertical="center" wrapText="1"/>
    </xf>
    <xf numFmtId="166" fontId="80" fillId="0" borderId="0" xfId="0" applyNumberFormat="1" applyFont="1" applyAlignment="1">
      <alignment horizontal="center" vertical="center" wrapText="1"/>
    </xf>
    <xf numFmtId="166" fontId="23" fillId="28" borderId="0" xfId="0" applyNumberFormat="1" applyFont="1" applyFill="1" applyAlignment="1">
      <alignment horizontal="center" vertical="center" wrapText="1"/>
    </xf>
    <xf numFmtId="1" fontId="80" fillId="0" borderId="20" xfId="0" applyNumberFormat="1" applyFont="1" applyBorder="1" applyAlignment="1">
      <alignment horizontal="center" vertical="center" wrapText="1"/>
    </xf>
    <xf numFmtId="0" fontId="79" fillId="0" borderId="0" xfId="0" applyFont="1" applyAlignment="1">
      <alignment vertical="center"/>
    </xf>
    <xf numFmtId="2" fontId="80" fillId="0" borderId="17" xfId="0" applyNumberFormat="1" applyFont="1" applyBorder="1" applyAlignment="1">
      <alignment horizontal="center" vertical="center" wrapText="1"/>
    </xf>
    <xf numFmtId="2" fontId="79" fillId="29" borderId="0" xfId="0" applyNumberFormat="1" applyFont="1" applyFill="1" applyAlignment="1">
      <alignment horizontal="center" vertical="center" wrapText="1"/>
    </xf>
    <xf numFmtId="0" fontId="81" fillId="0" borderId="64" xfId="0" applyFont="1" applyBorder="1" applyAlignment="1">
      <alignment horizontal="left" vertical="center" wrapText="1"/>
    </xf>
    <xf numFmtId="0" fontId="79" fillId="0" borderId="18" xfId="0" applyFont="1" applyBorder="1" applyAlignment="1">
      <alignment horizontal="left" vertical="center" wrapText="1"/>
    </xf>
    <xf numFmtId="0" fontId="93" fillId="30" borderId="20" xfId="0" applyFont="1" applyFill="1" applyBorder="1" applyAlignment="1">
      <alignment vertical="center" wrapText="1"/>
    </xf>
    <xf numFmtId="0" fontId="93" fillId="30" borderId="18" xfId="0" applyFont="1" applyFill="1" applyBorder="1" applyAlignment="1">
      <alignment vertical="center" wrapText="1"/>
    </xf>
    <xf numFmtId="0" fontId="12" fillId="22" borderId="0" xfId="0" applyFont="1" applyFill="1"/>
    <xf numFmtId="2" fontId="12" fillId="22" borderId="0" xfId="0" applyNumberFormat="1" applyFont="1" applyFill="1" applyAlignment="1">
      <alignment horizontal="center" vertical="center"/>
    </xf>
    <xf numFmtId="0" fontId="95" fillId="0" borderId="0" xfId="0" applyFont="1"/>
    <xf numFmtId="0" fontId="96" fillId="0" borderId="0" xfId="0" applyFont="1"/>
    <xf numFmtId="0" fontId="95" fillId="0" borderId="0" xfId="0" applyFont="1" applyAlignment="1">
      <alignment horizontal="center" vertical="center"/>
    </xf>
    <xf numFmtId="0" fontId="95" fillId="0" borderId="0" xfId="0" applyFont="1" applyAlignment="1">
      <alignment horizontal="center"/>
    </xf>
    <xf numFmtId="0" fontId="85" fillId="24" borderId="0" xfId="0" applyFont="1" applyFill="1" applyAlignment="1">
      <alignment horizontal="center"/>
    </xf>
    <xf numFmtId="2" fontId="95" fillId="0" borderId="0" xfId="0" applyNumberFormat="1" applyFont="1" applyAlignment="1">
      <alignment horizontal="center" vertical="center"/>
    </xf>
    <xf numFmtId="166" fontId="95" fillId="0" borderId="0" xfId="0" applyNumberFormat="1" applyFont="1" applyAlignment="1">
      <alignment horizontal="center" vertical="center"/>
    </xf>
    <xf numFmtId="0" fontId="96" fillId="5" borderId="0" xfId="0" applyFont="1" applyFill="1"/>
    <xf numFmtId="0" fontId="95" fillId="5" borderId="0" xfId="0" applyFont="1" applyFill="1"/>
    <xf numFmtId="0" fontId="95" fillId="5" borderId="0" xfId="0" applyFont="1" applyFill="1" applyAlignment="1">
      <alignment horizontal="center" vertical="center"/>
    </xf>
    <xf numFmtId="166" fontId="95" fillId="5" borderId="0" xfId="0" applyNumberFormat="1" applyFont="1" applyFill="1" applyAlignment="1">
      <alignment horizontal="center" vertical="center"/>
    </xf>
    <xf numFmtId="0" fontId="84" fillId="27" borderId="0" xfId="0" applyFont="1" applyFill="1" applyAlignment="1">
      <alignment horizontal="center" vertical="center"/>
    </xf>
    <xf numFmtId="0" fontId="95" fillId="0" borderId="0" xfId="0" applyFont="1" applyAlignment="1">
      <alignment horizontal="left" vertical="center"/>
    </xf>
    <xf numFmtId="0" fontId="84" fillId="27" borderId="0" xfId="0" applyFont="1" applyFill="1" applyAlignment="1">
      <alignment horizontal="left" vertical="center"/>
    </xf>
    <xf numFmtId="2" fontId="12" fillId="0" borderId="0" xfId="0" applyNumberFormat="1" applyFont="1" applyAlignment="1">
      <alignment horizontal="center" vertical="center"/>
    </xf>
    <xf numFmtId="0" fontId="98" fillId="31" borderId="0" xfId="0" applyFont="1" applyFill="1"/>
    <xf numFmtId="2" fontId="99" fillId="31" borderId="0" xfId="0" applyNumberFormat="1" applyFont="1" applyFill="1" applyAlignment="1">
      <alignment horizontal="center" vertical="center"/>
    </xf>
    <xf numFmtId="0" fontId="98" fillId="31" borderId="0" xfId="0" applyFont="1" applyFill="1" applyAlignment="1">
      <alignment horizontal="center" vertical="center"/>
    </xf>
    <xf numFmtId="0" fontId="99" fillId="31" borderId="0" xfId="0" applyFont="1" applyFill="1" applyAlignment="1">
      <alignment horizontal="left" vertical="center" wrapText="1"/>
    </xf>
    <xf numFmtId="0" fontId="98" fillId="0" borderId="0" xfId="0" applyFont="1"/>
    <xf numFmtId="0" fontId="99" fillId="0" borderId="0" xfId="0" applyFont="1" applyAlignment="1">
      <alignment horizontal="left" vertical="center" wrapText="1"/>
    </xf>
    <xf numFmtId="2" fontId="99" fillId="0" borderId="0" xfId="0" applyNumberFormat="1" applyFont="1" applyAlignment="1">
      <alignment horizontal="center" vertical="center"/>
    </xf>
    <xf numFmtId="0" fontId="98" fillId="0" borderId="0" xfId="0" applyFont="1" applyAlignment="1">
      <alignment horizontal="center" vertical="center"/>
    </xf>
    <xf numFmtId="0" fontId="0" fillId="5" borderId="0" xfId="0" applyFill="1" applyAlignment="1">
      <alignment vertical="center"/>
    </xf>
    <xf numFmtId="0" fontId="12" fillId="5" borderId="0" xfId="0" applyFont="1" applyFill="1" applyAlignment="1">
      <alignment vertical="center"/>
    </xf>
    <xf numFmtId="2" fontId="12" fillId="5" borderId="0" xfId="0" applyNumberFormat="1" applyFont="1" applyFill="1" applyAlignment="1">
      <alignment horizontal="center" vertical="center"/>
    </xf>
    <xf numFmtId="0" fontId="0" fillId="5" borderId="0" xfId="0" applyFill="1" applyAlignment="1">
      <alignment horizontal="center" vertical="center"/>
    </xf>
    <xf numFmtId="0" fontId="100" fillId="5" borderId="0" xfId="0" applyFont="1" applyFill="1" applyAlignment="1">
      <alignment vertical="center"/>
    </xf>
    <xf numFmtId="0" fontId="12" fillId="0" borderId="0" xfId="0" applyFont="1" applyAlignment="1">
      <alignment horizontal="center"/>
    </xf>
    <xf numFmtId="0" fontId="95" fillId="28" borderId="0" xfId="0" applyFont="1" applyFill="1" applyAlignment="1">
      <alignment horizontal="left" vertical="center"/>
    </xf>
    <xf numFmtId="0" fontId="95" fillId="28" borderId="0" xfId="0" applyFont="1" applyFill="1" applyAlignment="1">
      <alignment horizontal="center" vertical="center"/>
    </xf>
    <xf numFmtId="0" fontId="46" fillId="0" borderId="47" xfId="0" applyFont="1" applyBorder="1" applyAlignment="1">
      <alignment horizontal="center" vertical="center" wrapText="1"/>
    </xf>
    <xf numFmtId="0" fontId="102" fillId="0" borderId="0" xfId="0" applyFont="1" applyAlignment="1">
      <alignment vertical="center"/>
    </xf>
    <xf numFmtId="0" fontId="102" fillId="0" borderId="0" xfId="0" applyFont="1" applyAlignment="1">
      <alignment horizontal="center" vertical="center" wrapText="1"/>
    </xf>
    <xf numFmtId="0" fontId="103" fillId="0" borderId="0" xfId="0" applyFont="1" applyAlignment="1">
      <alignment horizontal="center" vertical="center"/>
    </xf>
    <xf numFmtId="0" fontId="59" fillId="4" borderId="0" xfId="0" applyFont="1" applyFill="1" applyAlignment="1">
      <alignment vertical="center"/>
    </xf>
    <xf numFmtId="0" fontId="55" fillId="0" borderId="0" xfId="0" applyFont="1" applyAlignment="1">
      <alignment horizontal="center" vertical="center"/>
    </xf>
    <xf numFmtId="0" fontId="55" fillId="4" borderId="0" xfId="0" applyFont="1" applyFill="1" applyAlignment="1">
      <alignment horizontal="center" vertical="center"/>
    </xf>
    <xf numFmtId="0" fontId="46" fillId="4" borderId="0" xfId="0" applyFont="1" applyFill="1" applyAlignment="1">
      <alignment horizontal="center" vertical="center" wrapText="1"/>
    </xf>
    <xf numFmtId="0" fontId="87" fillId="4" borderId="0" xfId="0" applyFont="1" applyFill="1" applyAlignment="1">
      <alignment horizontal="center" vertical="center" wrapText="1"/>
    </xf>
    <xf numFmtId="0" fontId="46" fillId="0" borderId="44" xfId="0" applyFont="1" applyBorder="1" applyAlignment="1">
      <alignment horizontal="left" vertical="center" wrapText="1"/>
    </xf>
    <xf numFmtId="0" fontId="55" fillId="0" borderId="0" xfId="0" applyFont="1" applyAlignment="1">
      <alignment horizontal="center" vertical="center" wrapText="1"/>
    </xf>
    <xf numFmtId="0" fontId="54" fillId="28" borderId="0" xfId="0" applyFont="1" applyFill="1" applyAlignment="1">
      <alignment horizontal="center" vertical="center"/>
    </xf>
    <xf numFmtId="0" fontId="54" fillId="28" borderId="5" xfId="0" applyFont="1" applyFill="1" applyBorder="1" applyAlignment="1">
      <alignment horizontal="center" vertical="center"/>
    </xf>
    <xf numFmtId="0" fontId="54" fillId="28" borderId="5" xfId="0" applyFont="1" applyFill="1" applyBorder="1" applyAlignment="1">
      <alignment horizontal="center" vertical="center" wrapText="1"/>
    </xf>
    <xf numFmtId="0" fontId="87" fillId="28" borderId="6" xfId="0" applyFont="1" applyFill="1" applyBorder="1" applyAlignment="1">
      <alignment horizontal="center" vertical="center" wrapText="1"/>
    </xf>
    <xf numFmtId="0" fontId="46" fillId="20" borderId="54" xfId="0" applyFont="1" applyFill="1" applyBorder="1" applyAlignment="1">
      <alignment horizontal="center" vertical="center" wrapText="1"/>
    </xf>
    <xf numFmtId="0" fontId="46" fillId="0" borderId="6" xfId="0" applyFont="1" applyBorder="1" applyAlignment="1">
      <alignment horizontal="center" vertical="center" wrapText="1"/>
    </xf>
    <xf numFmtId="0" fontId="60" fillId="0" borderId="0" xfId="0" applyFont="1" applyAlignment="1">
      <alignment horizontal="left" vertical="center"/>
    </xf>
    <xf numFmtId="0" fontId="54" fillId="28" borderId="7" xfId="0" applyFont="1" applyFill="1" applyBorder="1" applyAlignment="1">
      <alignment horizontal="center" vertical="center"/>
    </xf>
    <xf numFmtId="0" fontId="87" fillId="28" borderId="4" xfId="0" applyFont="1" applyFill="1" applyBorder="1" applyAlignment="1">
      <alignment horizontal="center" vertical="center" wrapText="1"/>
    </xf>
    <xf numFmtId="0" fontId="105" fillId="28" borderId="5" xfId="0" applyFont="1" applyFill="1" applyBorder="1" applyAlignment="1">
      <alignment horizontal="center" vertical="center" wrapText="1"/>
    </xf>
    <xf numFmtId="0" fontId="60" fillId="0" borderId="67" xfId="0" applyFont="1" applyBorder="1" applyAlignment="1">
      <alignment horizontal="left" vertical="center" wrapText="1"/>
    </xf>
    <xf numFmtId="0" fontId="55" fillId="0" borderId="67" xfId="0" applyFont="1" applyBorder="1" applyAlignment="1">
      <alignment horizontal="center" vertical="center"/>
    </xf>
    <xf numFmtId="0" fontId="55" fillId="0" borderId="67" xfId="0" applyFont="1" applyBorder="1" applyAlignment="1">
      <alignment horizontal="center" vertical="center" wrapText="1"/>
    </xf>
    <xf numFmtId="0" fontId="54" fillId="28" borderId="7" xfId="0" applyFont="1" applyFill="1" applyBorder="1" applyAlignment="1">
      <alignment horizontal="center" vertical="center" wrapText="1"/>
    </xf>
    <xf numFmtId="0" fontId="60" fillId="0" borderId="67" xfId="0" applyFont="1" applyBorder="1" applyAlignment="1">
      <alignment horizontal="left" vertical="center"/>
    </xf>
    <xf numFmtId="0" fontId="46" fillId="22" borderId="5" xfId="0" applyFont="1" applyFill="1" applyBorder="1" applyAlignment="1">
      <alignment horizontal="center" vertical="center"/>
    </xf>
    <xf numFmtId="0" fontId="46" fillId="14" borderId="5" xfId="0" applyFont="1" applyFill="1" applyBorder="1" applyAlignment="1">
      <alignment horizontal="center" vertical="center"/>
    </xf>
    <xf numFmtId="0" fontId="46" fillId="7" borderId="5" xfId="0" applyFont="1" applyFill="1" applyBorder="1" applyAlignment="1">
      <alignment horizontal="center" vertical="center"/>
    </xf>
    <xf numFmtId="0" fontId="46" fillId="21" borderId="5" xfId="0" applyFont="1" applyFill="1" applyBorder="1" applyAlignment="1">
      <alignment horizontal="center" vertical="center"/>
    </xf>
    <xf numFmtId="0" fontId="46" fillId="21" borderId="5" xfId="0" applyFont="1" applyFill="1" applyBorder="1" applyAlignment="1">
      <alignment horizontal="center" vertical="center" wrapText="1"/>
    </xf>
    <xf numFmtId="2" fontId="46" fillId="14" borderId="7" xfId="0" applyNumberFormat="1" applyFont="1" applyFill="1" applyBorder="1" applyAlignment="1">
      <alignment horizontal="center" vertical="center" wrapText="1"/>
    </xf>
    <xf numFmtId="2" fontId="51" fillId="7" borderId="7" xfId="0" applyNumberFormat="1" applyFont="1" applyFill="1" applyBorder="1" applyAlignment="1">
      <alignment horizontal="center" vertical="center" wrapText="1"/>
    </xf>
    <xf numFmtId="2" fontId="51" fillId="7" borderId="4" xfId="0" applyNumberFormat="1" applyFont="1" applyFill="1" applyBorder="1" applyAlignment="1">
      <alignment horizontal="center" vertical="center" wrapText="1"/>
    </xf>
    <xf numFmtId="2" fontId="46" fillId="14" borderId="4" xfId="0" applyNumberFormat="1" applyFont="1" applyFill="1" applyBorder="1" applyAlignment="1">
      <alignment horizontal="center" vertical="center" wrapText="1"/>
    </xf>
    <xf numFmtId="0" fontId="46" fillId="22" borderId="6" xfId="0" applyFont="1" applyFill="1" applyBorder="1" applyAlignment="1">
      <alignment horizontal="center" vertical="center"/>
    </xf>
    <xf numFmtId="0" fontId="46" fillId="14" borderId="6" xfId="0" applyFont="1" applyFill="1" applyBorder="1" applyAlignment="1">
      <alignment horizontal="center" vertical="center"/>
    </xf>
    <xf numFmtId="0" fontId="46" fillId="7" borderId="6" xfId="0" applyFont="1" applyFill="1" applyBorder="1" applyAlignment="1">
      <alignment horizontal="center" vertical="center"/>
    </xf>
    <xf numFmtId="0" fontId="46" fillId="0" borderId="68" xfId="0" applyFont="1" applyBorder="1" applyAlignment="1">
      <alignment horizontal="center" vertical="center" wrapText="1"/>
    </xf>
    <xf numFmtId="0" fontId="54" fillId="28" borderId="5" xfId="0" applyFont="1" applyFill="1" applyBorder="1" applyAlignment="1">
      <alignment horizontal="left" vertical="center" wrapText="1"/>
    </xf>
    <xf numFmtId="0" fontId="54" fillId="28" borderId="6" xfId="0" applyFont="1" applyFill="1" applyBorder="1" applyAlignment="1">
      <alignment horizontal="center" vertical="center"/>
    </xf>
    <xf numFmtId="0" fontId="24" fillId="0" borderId="0" xfId="0" applyFont="1"/>
    <xf numFmtId="1" fontId="80" fillId="0" borderId="17" xfId="0" applyNumberFormat="1" applyFont="1" applyBorder="1" applyAlignment="1">
      <alignment horizontal="center" vertical="center" wrapText="1"/>
    </xf>
    <xf numFmtId="0" fontId="106" fillId="0" borderId="0" xfId="0" applyFont="1"/>
    <xf numFmtId="0" fontId="12" fillId="22" borderId="0" xfId="0" applyFont="1" applyFill="1" applyAlignment="1">
      <alignment horizontal="center" vertical="center"/>
    </xf>
    <xf numFmtId="0" fontId="86" fillId="27" borderId="20" xfId="0" applyFont="1" applyFill="1" applyBorder="1" applyAlignment="1">
      <alignment horizontal="center" vertical="center" wrapText="1"/>
    </xf>
    <xf numFmtId="0" fontId="23" fillId="0" borderId="19" xfId="0" applyFont="1" applyBorder="1" applyAlignment="1">
      <alignment horizontal="center" vertical="center" wrapText="1"/>
    </xf>
    <xf numFmtId="2" fontId="23" fillId="0" borderId="19" xfId="0" applyNumberFormat="1" applyFont="1" applyBorder="1" applyAlignment="1">
      <alignment horizontal="center" vertical="center" wrapText="1"/>
    </xf>
    <xf numFmtId="0" fontId="38" fillId="0" borderId="0" xfId="0" applyFont="1" applyAlignment="1">
      <alignment vertical="center"/>
    </xf>
    <xf numFmtId="0" fontId="41" fillId="0" borderId="0" xfId="0" applyFont="1" applyAlignment="1">
      <alignment horizontal="center" vertical="center" wrapText="1"/>
    </xf>
    <xf numFmtId="0" fontId="39" fillId="0" borderId="0" xfId="0" applyFont="1" applyAlignment="1">
      <alignment horizontal="center" vertical="center"/>
    </xf>
    <xf numFmtId="0" fontId="108" fillId="0" borderId="0" xfId="0" applyFont="1" applyAlignment="1">
      <alignment horizontal="center" vertical="center"/>
    </xf>
    <xf numFmtId="0" fontId="109" fillId="4" borderId="0" xfId="0" applyFont="1" applyFill="1" applyAlignment="1">
      <alignment horizontal="center" vertical="center" wrapText="1"/>
    </xf>
    <xf numFmtId="0" fontId="80" fillId="0" borderId="0" xfId="0" applyFont="1" applyAlignment="1">
      <alignment horizontal="left" vertical="center"/>
    </xf>
    <xf numFmtId="0" fontId="81" fillId="0" borderId="5" xfId="0" applyFont="1" applyBorder="1" applyAlignment="1">
      <alignment horizontal="left" vertical="center" wrapText="1"/>
    </xf>
    <xf numFmtId="2" fontId="111" fillId="29" borderId="0" xfId="0" applyNumberFormat="1" applyFont="1" applyFill="1" applyAlignment="1">
      <alignment horizontal="center" vertical="center" wrapText="1"/>
    </xf>
    <xf numFmtId="166" fontId="111" fillId="29" borderId="0" xfId="0" applyNumberFormat="1" applyFont="1" applyFill="1" applyAlignment="1">
      <alignment horizontal="center" vertical="center" wrapText="1"/>
    </xf>
    <xf numFmtId="166" fontId="23" fillId="0" borderId="18" xfId="0" applyNumberFormat="1" applyFont="1" applyBorder="1" applyAlignment="1">
      <alignment horizontal="center" vertical="center" wrapText="1"/>
    </xf>
    <xf numFmtId="0" fontId="92" fillId="14" borderId="17" xfId="0" applyFont="1" applyFill="1" applyBorder="1" applyAlignment="1">
      <alignment horizontal="left" vertical="center" wrapText="1"/>
    </xf>
    <xf numFmtId="166" fontId="23" fillId="14" borderId="0" xfId="0" applyNumberFormat="1" applyFont="1" applyFill="1" applyAlignment="1">
      <alignment horizontal="center" vertical="center" wrapText="1"/>
    </xf>
    <xf numFmtId="0" fontId="23" fillId="14" borderId="18" xfId="0" applyFont="1" applyFill="1" applyBorder="1" applyAlignment="1">
      <alignment horizontal="center" vertical="center" wrapText="1"/>
    </xf>
    <xf numFmtId="0" fontId="23" fillId="28" borderId="0" xfId="0" applyFont="1" applyFill="1" applyAlignment="1">
      <alignment horizontal="center" vertical="center" wrapText="1"/>
    </xf>
    <xf numFmtId="0" fontId="84" fillId="31" borderId="0" xfId="0" applyFont="1" applyFill="1" applyAlignment="1">
      <alignment horizontal="center" vertical="center" wrapText="1"/>
    </xf>
    <xf numFmtId="2" fontId="18" fillId="31" borderId="0" xfId="0" applyNumberFormat="1" applyFont="1" applyFill="1" applyAlignment="1">
      <alignment horizontal="center" vertical="center" wrapText="1"/>
    </xf>
    <xf numFmtId="0" fontId="0" fillId="28" borderId="0" xfId="0" applyFill="1" applyAlignment="1">
      <alignment horizontal="center" vertical="center"/>
    </xf>
    <xf numFmtId="0" fontId="108" fillId="0" borderId="0" xfId="0" applyFont="1" applyAlignment="1">
      <alignment vertical="center" wrapText="1"/>
    </xf>
    <xf numFmtId="0" fontId="46" fillId="0" borderId="51" xfId="0" applyFont="1" applyBorder="1" applyAlignment="1">
      <alignment vertical="top" wrapText="1"/>
    </xf>
    <xf numFmtId="0" fontId="46" fillId="0" borderId="55" xfId="0" applyFont="1" applyBorder="1" applyAlignment="1">
      <alignment vertical="top" wrapText="1"/>
    </xf>
    <xf numFmtId="0" fontId="46" fillId="29" borderId="51" xfId="0" applyFont="1" applyFill="1" applyBorder="1" applyAlignment="1">
      <alignment vertical="top" wrapText="1"/>
    </xf>
    <xf numFmtId="0" fontId="46" fillId="29" borderId="52" xfId="0" applyFont="1" applyFill="1" applyBorder="1" applyAlignment="1">
      <alignment horizontal="center" vertical="center" wrapText="1"/>
    </xf>
    <xf numFmtId="0" fontId="46" fillId="29" borderId="55" xfId="0" applyFont="1" applyFill="1" applyBorder="1" applyAlignment="1">
      <alignment vertical="top" wrapText="1"/>
    </xf>
    <xf numFmtId="0" fontId="78" fillId="0" borderId="67" xfId="0" applyFont="1" applyBorder="1" applyAlignment="1">
      <alignment horizontal="left" vertical="center" wrapText="1"/>
    </xf>
    <xf numFmtId="0" fontId="107" fillId="0" borderId="0" xfId="0" applyFont="1" applyAlignment="1">
      <alignment vertical="center"/>
    </xf>
    <xf numFmtId="0" fontId="104" fillId="0" borderId="0" xfId="0" applyFont="1" applyAlignment="1">
      <alignment horizontal="center" vertical="center" wrapText="1"/>
    </xf>
    <xf numFmtId="0" fontId="45" fillId="31" borderId="0" xfId="0" applyFont="1" applyFill="1" applyAlignment="1">
      <alignment vertical="center"/>
    </xf>
    <xf numFmtId="0" fontId="0" fillId="31" borderId="0" xfId="0" applyFill="1"/>
    <xf numFmtId="0" fontId="0" fillId="0" borderId="75" xfId="0" applyBorder="1"/>
    <xf numFmtId="0" fontId="0" fillId="0" borderId="76" xfId="0" applyBorder="1"/>
    <xf numFmtId="0" fontId="39" fillId="0" borderId="0" xfId="0" applyFont="1" applyAlignment="1">
      <alignment vertical="center" wrapText="1"/>
    </xf>
    <xf numFmtId="0" fontId="0" fillId="0" borderId="74" xfId="0" applyBorder="1"/>
    <xf numFmtId="0" fontId="89" fillId="20" borderId="7" xfId="0" applyFont="1" applyFill="1" applyBorder="1" applyAlignment="1">
      <alignment horizontal="center" vertical="center" wrapText="1"/>
    </xf>
    <xf numFmtId="0" fontId="89" fillId="20" borderId="4" xfId="0" applyFont="1" applyFill="1" applyBorder="1" applyAlignment="1">
      <alignment horizontal="center" vertical="center" wrapText="1"/>
    </xf>
    <xf numFmtId="0" fontId="40" fillId="0" borderId="0" xfId="7" applyFont="1" applyFill="1" applyBorder="1" applyAlignment="1" applyProtection="1">
      <alignment horizontal="center" vertical="center"/>
      <protection locked="0"/>
    </xf>
    <xf numFmtId="0" fontId="50" fillId="0" borderId="0" xfId="0" applyFont="1" applyAlignment="1">
      <alignment horizontal="left" vertical="center"/>
    </xf>
    <xf numFmtId="0" fontId="0" fillId="0" borderId="73" xfId="0" applyBorder="1"/>
    <xf numFmtId="0" fontId="89" fillId="0" borderId="0" xfId="0" applyFont="1" applyAlignment="1">
      <alignment horizontal="left" vertical="center" wrapText="1"/>
    </xf>
    <xf numFmtId="0" fontId="89" fillId="0" borderId="6" xfId="0" applyFont="1" applyBorder="1" applyAlignment="1">
      <alignment horizontal="center" vertical="center" wrapText="1"/>
    </xf>
    <xf numFmtId="0" fontId="89" fillId="0" borderId="5" xfId="0" applyFont="1" applyBorder="1" applyAlignment="1">
      <alignment horizontal="left" vertical="center" wrapText="1"/>
    </xf>
    <xf numFmtId="0" fontId="89" fillId="0" borderId="67" xfId="0" applyFont="1" applyBorder="1" applyAlignment="1">
      <alignment horizontal="left" vertical="center" wrapText="1"/>
    </xf>
    <xf numFmtId="0" fontId="119" fillId="0" borderId="75" xfId="0" applyFont="1" applyBorder="1"/>
    <xf numFmtId="0" fontId="119" fillId="0" borderId="0" xfId="0" applyFont="1"/>
    <xf numFmtId="0" fontId="45" fillId="0" borderId="0" xfId="0" applyFont="1" applyAlignment="1">
      <alignment vertical="center"/>
    </xf>
    <xf numFmtId="0" fontId="107" fillId="28" borderId="4" xfId="0" applyFont="1" applyFill="1" applyBorder="1" applyAlignment="1">
      <alignment horizontal="left" vertical="center" wrapText="1"/>
    </xf>
    <xf numFmtId="0" fontId="107" fillId="28" borderId="5" xfId="0" applyFont="1" applyFill="1" applyBorder="1" applyAlignment="1">
      <alignment horizontal="center" vertical="center"/>
    </xf>
    <xf numFmtId="0" fontId="107" fillId="28" borderId="5" xfId="0" applyFont="1" applyFill="1" applyBorder="1" applyAlignment="1">
      <alignment horizontal="center" vertical="center" wrapText="1"/>
    </xf>
    <xf numFmtId="0" fontId="107" fillId="28" borderId="6" xfId="0" applyFont="1" applyFill="1" applyBorder="1" applyAlignment="1">
      <alignment horizontal="center" vertical="center" wrapText="1"/>
    </xf>
    <xf numFmtId="0" fontId="113" fillId="0" borderId="0" xfId="8" applyFont="1" applyAlignment="1">
      <alignment vertical="center"/>
    </xf>
    <xf numFmtId="0" fontId="113" fillId="0" borderId="0" xfId="0" applyFont="1" applyAlignment="1">
      <alignment vertical="center"/>
    </xf>
    <xf numFmtId="0" fontId="107" fillId="28" borderId="6" xfId="0" applyFont="1" applyFill="1" applyBorder="1" applyAlignment="1">
      <alignment horizontal="left" vertical="center" wrapText="1"/>
    </xf>
    <xf numFmtId="0" fontId="35" fillId="0" borderId="42" xfId="0" applyFont="1" applyBorder="1"/>
    <xf numFmtId="0" fontId="89" fillId="0" borderId="43" xfId="0" applyFont="1" applyBorder="1" applyAlignment="1">
      <alignment horizontal="center" vertical="center" wrapText="1"/>
    </xf>
    <xf numFmtId="0" fontId="89" fillId="0" borderId="0" xfId="0" applyFont="1" applyAlignment="1">
      <alignment horizontal="center" vertical="center" wrapText="1"/>
    </xf>
    <xf numFmtId="0" fontId="126" fillId="0" borderId="0" xfId="0" applyFont="1" applyAlignment="1">
      <alignment vertical="center"/>
    </xf>
    <xf numFmtId="0" fontId="89" fillId="0" borderId="11" xfId="0" applyFont="1" applyBorder="1" applyAlignment="1">
      <alignment horizontal="center" vertical="center" wrapText="1"/>
    </xf>
    <xf numFmtId="0" fontId="107" fillId="28" borderId="4" xfId="0" applyFont="1" applyFill="1" applyBorder="1" applyAlignment="1">
      <alignment vertical="center" wrapText="1"/>
    </xf>
    <xf numFmtId="0" fontId="89" fillId="22" borderId="5" xfId="0" applyFont="1" applyFill="1" applyBorder="1" applyAlignment="1">
      <alignment horizontal="left" vertical="center" wrapText="1"/>
    </xf>
    <xf numFmtId="0" fontId="89" fillId="22" borderId="5" xfId="0" applyFont="1" applyFill="1" applyBorder="1" applyAlignment="1">
      <alignment horizontal="center" vertical="center"/>
    </xf>
    <xf numFmtId="0" fontId="89" fillId="14" borderId="5" xfId="0" applyFont="1" applyFill="1" applyBorder="1" applyAlignment="1">
      <alignment horizontal="left" vertical="center" wrapText="1"/>
    </xf>
    <xf numFmtId="0" fontId="89" fillId="14" borderId="5" xfId="0" applyFont="1" applyFill="1" applyBorder="1" applyAlignment="1">
      <alignment horizontal="center" vertical="center"/>
    </xf>
    <xf numFmtId="2" fontId="89" fillId="14" borderId="7" xfId="0" applyNumberFormat="1" applyFont="1" applyFill="1" applyBorder="1" applyAlignment="1">
      <alignment horizontal="center" vertical="center" wrapText="1"/>
    </xf>
    <xf numFmtId="0" fontId="89" fillId="7" borderId="5" xfId="0" applyFont="1" applyFill="1" applyBorder="1" applyAlignment="1">
      <alignment horizontal="left" vertical="center" wrapText="1"/>
    </xf>
    <xf numFmtId="0" fontId="89" fillId="7" borderId="5" xfId="0" applyFont="1" applyFill="1" applyBorder="1" applyAlignment="1">
      <alignment horizontal="center" vertical="center"/>
    </xf>
    <xf numFmtId="2" fontId="53" fillId="7" borderId="7" xfId="0" applyNumberFormat="1" applyFont="1" applyFill="1" applyBorder="1" applyAlignment="1">
      <alignment horizontal="center" vertical="center" wrapText="1"/>
    </xf>
    <xf numFmtId="2" fontId="53" fillId="7" borderId="4" xfId="0" applyNumberFormat="1" applyFont="1" applyFill="1" applyBorder="1" applyAlignment="1">
      <alignment horizontal="center" vertical="center" wrapText="1"/>
    </xf>
    <xf numFmtId="0" fontId="89" fillId="21" borderId="5" xfId="0" applyFont="1" applyFill="1" applyBorder="1" applyAlignment="1">
      <alignment horizontal="left" vertical="center" wrapText="1"/>
    </xf>
    <xf numFmtId="0" fontId="89" fillId="21" borderId="5" xfId="0" applyFont="1" applyFill="1" applyBorder="1" applyAlignment="1">
      <alignment horizontal="center" vertical="center"/>
    </xf>
    <xf numFmtId="2" fontId="89" fillId="10" borderId="4" xfId="0" applyNumberFormat="1" applyFont="1" applyFill="1" applyBorder="1" applyAlignment="1">
      <alignment horizontal="center" vertical="center" wrapText="1"/>
    </xf>
    <xf numFmtId="0" fontId="89" fillId="21" borderId="5" xfId="0" applyFont="1" applyFill="1" applyBorder="1" applyAlignment="1">
      <alignment horizontal="center" vertical="center" wrapText="1"/>
    </xf>
    <xf numFmtId="2" fontId="89" fillId="14" borderId="4" xfId="0" applyNumberFormat="1" applyFont="1" applyFill="1" applyBorder="1" applyAlignment="1">
      <alignment horizontal="center" vertical="center" wrapText="1"/>
    </xf>
    <xf numFmtId="178" fontId="89" fillId="21" borderId="7" xfId="0" applyNumberFormat="1" applyFont="1" applyFill="1" applyBorder="1" applyAlignment="1">
      <alignment horizontal="center" vertical="center" wrapText="1"/>
    </xf>
    <xf numFmtId="0" fontId="89" fillId="22" borderId="6" xfId="0" applyFont="1" applyFill="1" applyBorder="1" applyAlignment="1">
      <alignment horizontal="center" vertical="center"/>
    </xf>
    <xf numFmtId="0" fontId="89" fillId="14" borderId="6" xfId="0" applyFont="1" applyFill="1" applyBorder="1" applyAlignment="1">
      <alignment horizontal="center" vertical="center"/>
    </xf>
    <xf numFmtId="0" fontId="89" fillId="7" borderId="6" xfId="0" applyFont="1" applyFill="1" applyBorder="1" applyAlignment="1">
      <alignment horizontal="center" vertical="center"/>
    </xf>
    <xf numFmtId="0" fontId="52" fillId="22" borderId="5" xfId="0" applyFont="1" applyFill="1" applyBorder="1" applyAlignment="1">
      <alignment horizontal="left" vertical="center" wrapText="1"/>
    </xf>
    <xf numFmtId="0" fontId="53" fillId="22" borderId="6" xfId="0" applyFont="1" applyFill="1" applyBorder="1" applyAlignment="1">
      <alignment horizontal="center" vertical="center"/>
    </xf>
    <xf numFmtId="0" fontId="52" fillId="14" borderId="5" xfId="0" applyFont="1" applyFill="1" applyBorder="1" applyAlignment="1">
      <alignment horizontal="left" vertical="center" wrapText="1"/>
    </xf>
    <xf numFmtId="0" fontId="53" fillId="14" borderId="6" xfId="0" applyFont="1" applyFill="1" applyBorder="1" applyAlignment="1">
      <alignment horizontal="center" vertical="center"/>
    </xf>
    <xf numFmtId="0" fontId="53" fillId="7" borderId="5" xfId="0" applyFont="1" applyFill="1" applyBorder="1" applyAlignment="1">
      <alignment horizontal="left" vertical="center" wrapText="1"/>
    </xf>
    <xf numFmtId="0" fontId="53" fillId="7" borderId="6" xfId="0" applyFont="1" applyFill="1" applyBorder="1" applyAlignment="1">
      <alignment horizontal="center" vertical="center"/>
    </xf>
    <xf numFmtId="0" fontId="52" fillId="32" borderId="5" xfId="0" applyFont="1" applyFill="1" applyBorder="1" applyAlignment="1">
      <alignment horizontal="left" vertical="center" wrapText="1"/>
    </xf>
    <xf numFmtId="0" fontId="52" fillId="33" borderId="5" xfId="0" applyFont="1" applyFill="1" applyBorder="1" applyAlignment="1">
      <alignment horizontal="left" vertical="center" wrapText="1"/>
    </xf>
    <xf numFmtId="0" fontId="53" fillId="34" borderId="5" xfId="0" applyFont="1" applyFill="1" applyBorder="1" applyAlignment="1">
      <alignment horizontal="left" vertical="center" wrapText="1"/>
    </xf>
    <xf numFmtId="178" fontId="89" fillId="21" borderId="4" xfId="0" applyNumberFormat="1" applyFont="1" applyFill="1" applyBorder="1" applyAlignment="1">
      <alignment horizontal="center" vertical="center" wrapText="1"/>
    </xf>
    <xf numFmtId="0" fontId="89" fillId="0" borderId="7" xfId="0" applyFont="1" applyBorder="1" applyAlignment="1">
      <alignment horizontal="center" vertical="center" wrapText="1"/>
    </xf>
    <xf numFmtId="0" fontId="79" fillId="0" borderId="18" xfId="0" applyFont="1" applyBorder="1" applyAlignment="1">
      <alignment horizontal="center" vertical="center" wrapText="1"/>
    </xf>
    <xf numFmtId="2" fontId="79" fillId="0" borderId="0" xfId="0" applyNumberFormat="1" applyFont="1" applyAlignment="1">
      <alignment horizontal="center" vertical="center" wrapText="1"/>
    </xf>
    <xf numFmtId="2" fontId="111" fillId="0" borderId="0" xfId="0" applyNumberFormat="1" applyFont="1" applyAlignment="1">
      <alignment horizontal="center" vertical="center" wrapText="1"/>
    </xf>
    <xf numFmtId="166" fontId="111" fillId="0" borderId="0" xfId="0" applyNumberFormat="1" applyFont="1" applyAlignment="1">
      <alignment horizontal="center" vertical="center" wrapText="1"/>
    </xf>
    <xf numFmtId="0" fontId="80" fillId="0" borderId="35" xfId="0" applyFont="1" applyBorder="1" applyAlignment="1">
      <alignment horizontal="center" vertical="center" wrapText="1"/>
    </xf>
    <xf numFmtId="1" fontId="80" fillId="0" borderId="78" xfId="0" applyNumberFormat="1" applyFont="1" applyBorder="1" applyAlignment="1">
      <alignment horizontal="center" vertical="center" wrapText="1"/>
    </xf>
    <xf numFmtId="0" fontId="79" fillId="0" borderId="0" xfId="0" applyFont="1" applyAlignment="1">
      <alignment horizontal="left" vertical="center" wrapText="1"/>
    </xf>
    <xf numFmtId="1" fontId="80" fillId="0" borderId="0" xfId="0" applyNumberFormat="1" applyFont="1" applyAlignment="1">
      <alignment horizontal="center" vertical="center" wrapText="1"/>
    </xf>
    <xf numFmtId="0" fontId="79" fillId="0" borderId="20" xfId="0" applyFont="1" applyBorder="1" applyAlignment="1">
      <alignment horizontal="center" vertical="center" wrapText="1"/>
    </xf>
    <xf numFmtId="166" fontId="23" fillId="0" borderId="0" xfId="0" applyNumberFormat="1" applyFont="1" applyAlignment="1">
      <alignment horizontal="center" vertical="center" wrapText="1"/>
    </xf>
    <xf numFmtId="0" fontId="79" fillId="15" borderId="20" xfId="0" applyFont="1" applyFill="1" applyBorder="1" applyAlignment="1">
      <alignment horizontal="center" vertical="center" wrapText="1"/>
    </xf>
    <xf numFmtId="0" fontId="106" fillId="7" borderId="0" xfId="0" applyFont="1" applyFill="1"/>
    <xf numFmtId="0" fontId="95" fillId="7" borderId="0" xfId="0" applyFont="1" applyFill="1"/>
    <xf numFmtId="0" fontId="24" fillId="28" borderId="0" xfId="0" applyFont="1" applyFill="1"/>
    <xf numFmtId="0" fontId="23" fillId="28" borderId="0" xfId="0" applyFont="1" applyFill="1" applyAlignment="1">
      <alignment horizontal="center"/>
    </xf>
    <xf numFmtId="0" fontId="23" fillId="28" borderId="0" xfId="0" applyFont="1" applyFill="1"/>
    <xf numFmtId="0" fontId="85" fillId="0" borderId="0" xfId="0" applyFont="1" applyAlignment="1">
      <alignment horizontal="center" vertical="center" wrapText="1"/>
    </xf>
    <xf numFmtId="0" fontId="93" fillId="0" borderId="0" xfId="0" applyFont="1" applyAlignment="1">
      <alignment vertical="center" wrapText="1"/>
    </xf>
    <xf numFmtId="0" fontId="23" fillId="0" borderId="0" xfId="0" applyFont="1" applyAlignment="1">
      <alignment horizontal="left" vertical="center" wrapText="1"/>
    </xf>
    <xf numFmtId="0" fontId="24" fillId="0" borderId="0" xfId="0" applyFont="1" applyAlignment="1">
      <alignment horizontal="left" vertical="center" wrapText="1"/>
    </xf>
    <xf numFmtId="0" fontId="84" fillId="0" borderId="0" xfId="0" applyFont="1" applyAlignment="1">
      <alignment horizontal="center" vertical="center" wrapText="1"/>
    </xf>
    <xf numFmtId="2" fontId="18" fillId="0" borderId="0" xfId="0" applyNumberFormat="1" applyFont="1" applyAlignment="1">
      <alignment horizontal="center" vertical="center" wrapText="1"/>
    </xf>
    <xf numFmtId="1" fontId="53" fillId="7" borderId="7" xfId="0" applyNumberFormat="1" applyFont="1" applyFill="1" applyBorder="1" applyAlignment="1">
      <alignment horizontal="center" vertical="center" wrapText="1"/>
    </xf>
    <xf numFmtId="1" fontId="89" fillId="22" borderId="7" xfId="0" applyNumberFormat="1" applyFont="1" applyFill="1" applyBorder="1" applyAlignment="1">
      <alignment horizontal="center" vertical="center" wrapText="1"/>
    </xf>
    <xf numFmtId="1" fontId="89" fillId="22" borderId="4" xfId="0" applyNumberFormat="1" applyFont="1" applyFill="1" applyBorder="1" applyAlignment="1">
      <alignment horizontal="center" vertical="center" wrapText="1"/>
    </xf>
    <xf numFmtId="1" fontId="53" fillId="7" borderId="4" xfId="0" applyNumberFormat="1" applyFont="1" applyFill="1" applyBorder="1" applyAlignment="1">
      <alignment horizontal="center" vertical="center" wrapText="1"/>
    </xf>
    <xf numFmtId="3" fontId="89" fillId="22" borderId="7" xfId="0" applyNumberFormat="1" applyFont="1" applyFill="1" applyBorder="1" applyAlignment="1">
      <alignment horizontal="center" vertical="center" wrapText="1"/>
    </xf>
    <xf numFmtId="3" fontId="89" fillId="22" borderId="4" xfId="0" applyNumberFormat="1" applyFont="1" applyFill="1" applyBorder="1" applyAlignment="1">
      <alignment horizontal="center" vertical="center" wrapText="1"/>
    </xf>
    <xf numFmtId="3" fontId="53" fillId="7" borderId="7" xfId="0" applyNumberFormat="1" applyFont="1" applyFill="1" applyBorder="1" applyAlignment="1">
      <alignment horizontal="center" vertical="center" wrapText="1"/>
    </xf>
    <xf numFmtId="3" fontId="53" fillId="7" borderId="4" xfId="0" applyNumberFormat="1" applyFont="1" applyFill="1" applyBorder="1" applyAlignment="1">
      <alignment horizontal="center" vertical="center" wrapText="1"/>
    </xf>
    <xf numFmtId="3" fontId="89" fillId="10" borderId="4" xfId="0" applyNumberFormat="1" applyFont="1" applyFill="1" applyBorder="1" applyAlignment="1">
      <alignment horizontal="center" vertical="center" wrapText="1"/>
    </xf>
    <xf numFmtId="1" fontId="53" fillId="14" borderId="7" xfId="0" applyNumberFormat="1" applyFont="1" applyFill="1" applyBorder="1" applyAlignment="1">
      <alignment horizontal="center" vertical="center" wrapText="1"/>
    </xf>
    <xf numFmtId="1" fontId="53" fillId="14" borderId="4" xfId="0" applyNumberFormat="1" applyFont="1" applyFill="1" applyBorder="1" applyAlignment="1">
      <alignment horizontal="center" vertical="center" wrapText="1"/>
    </xf>
    <xf numFmtId="0" fontId="49" fillId="4" borderId="0" xfId="0" applyFont="1" applyFill="1" applyAlignment="1">
      <alignment vertical="center"/>
    </xf>
    <xf numFmtId="0" fontId="129" fillId="0" borderId="0" xfId="0" applyFont="1"/>
    <xf numFmtId="0" fontId="129" fillId="0" borderId="42" xfId="0" applyFont="1" applyBorder="1"/>
    <xf numFmtId="0" fontId="118" fillId="0" borderId="43" xfId="0" applyFont="1" applyBorder="1" applyAlignment="1">
      <alignment horizontal="center" vertical="center" wrapText="1"/>
    </xf>
    <xf numFmtId="0" fontId="118" fillId="0" borderId="0" xfId="0" applyFont="1" applyAlignment="1">
      <alignment horizontal="center" vertical="center" wrapText="1"/>
    </xf>
    <xf numFmtId="2" fontId="89" fillId="4" borderId="0" xfId="0" applyNumberFormat="1" applyFont="1" applyFill="1" applyAlignment="1">
      <alignment horizontal="center" vertical="center" wrapText="1"/>
    </xf>
    <xf numFmtId="0" fontId="35" fillId="0" borderId="43" xfId="0" applyFont="1" applyBorder="1"/>
    <xf numFmtId="176" fontId="89" fillId="4" borderId="0" xfId="0" applyNumberFormat="1" applyFont="1" applyFill="1" applyAlignment="1">
      <alignment horizontal="center" vertical="center" wrapText="1"/>
    </xf>
    <xf numFmtId="0" fontId="84" fillId="24" borderId="0" xfId="0" applyFont="1" applyFill="1" applyAlignment="1">
      <alignment vertical="center"/>
    </xf>
    <xf numFmtId="0" fontId="81" fillId="0" borderId="46" xfId="0" applyFont="1" applyBorder="1" applyAlignment="1">
      <alignment horizontal="left" vertical="center" wrapText="1"/>
    </xf>
    <xf numFmtId="0" fontId="80" fillId="0" borderId="78" xfId="0" applyFont="1" applyBorder="1" applyAlignment="1">
      <alignment horizontal="center" vertical="center" wrapText="1"/>
    </xf>
    <xf numFmtId="0" fontId="79" fillId="7" borderId="29" xfId="0" applyFont="1" applyFill="1" applyBorder="1" applyAlignment="1">
      <alignment horizontal="center" vertical="center" wrapText="1"/>
    </xf>
    <xf numFmtId="0" fontId="79" fillId="7" borderId="21" xfId="0" applyFont="1" applyFill="1" applyBorder="1" applyAlignment="1">
      <alignment horizontal="center" vertical="center" wrapText="1"/>
    </xf>
    <xf numFmtId="0" fontId="79" fillId="7" borderId="39" xfId="0" applyFont="1" applyFill="1" applyBorder="1" applyAlignment="1">
      <alignment horizontal="center" vertical="center" wrapText="1"/>
    </xf>
    <xf numFmtId="0" fontId="81" fillId="0" borderId="0" xfId="0" applyFont="1" applyAlignment="1">
      <alignment horizontal="left" vertical="center" wrapText="1"/>
    </xf>
    <xf numFmtId="0" fontId="23" fillId="0" borderId="0" xfId="0" applyFont="1" applyAlignment="1">
      <alignment horizontal="center"/>
    </xf>
    <xf numFmtId="166" fontId="23" fillId="0" borderId="0" xfId="0" applyNumberFormat="1" applyFont="1" applyAlignment="1">
      <alignment horizontal="center" vertical="center"/>
    </xf>
    <xf numFmtId="1" fontId="23" fillId="0" borderId="18" xfId="0" applyNumberFormat="1" applyFont="1" applyBorder="1" applyAlignment="1">
      <alignment horizontal="center" vertical="center" wrapText="1"/>
    </xf>
    <xf numFmtId="0" fontId="23" fillId="28" borderId="19" xfId="0" applyFont="1" applyFill="1" applyBorder="1" applyAlignment="1">
      <alignment horizontal="center" vertical="center" wrapText="1"/>
    </xf>
    <xf numFmtId="1" fontId="23" fillId="0" borderId="0" xfId="0" applyNumberFormat="1" applyFont="1" applyAlignment="1">
      <alignment horizontal="center" vertical="center" wrapText="1"/>
    </xf>
    <xf numFmtId="0" fontId="79" fillId="37" borderId="20" xfId="0" applyFont="1" applyFill="1" applyBorder="1" applyAlignment="1">
      <alignment horizontal="center" vertical="center" wrapText="1"/>
    </xf>
    <xf numFmtId="0" fontId="89" fillId="0" borderId="0" xfId="0" applyFont="1" applyAlignment="1">
      <alignment horizontal="center" vertical="center"/>
    </xf>
    <xf numFmtId="0" fontId="107" fillId="28" borderId="5" xfId="0" applyFont="1" applyFill="1" applyBorder="1" applyAlignment="1">
      <alignment horizontal="left" vertical="center" wrapText="1"/>
    </xf>
    <xf numFmtId="0" fontId="107" fillId="28" borderId="0" xfId="0" applyFont="1" applyFill="1" applyAlignment="1">
      <alignment horizontal="left" vertical="center" wrapText="1"/>
    </xf>
    <xf numFmtId="0" fontId="118" fillId="0" borderId="0" xfId="0" applyFont="1" applyAlignment="1">
      <alignment horizontal="left" vertical="center" wrapText="1"/>
    </xf>
    <xf numFmtId="0" fontId="49" fillId="31" borderId="0" xfId="0" applyFont="1" applyFill="1" applyAlignment="1">
      <alignment vertical="center"/>
    </xf>
    <xf numFmtId="0" fontId="45" fillId="38" borderId="0" xfId="0" applyFont="1" applyFill="1" applyAlignment="1">
      <alignment vertical="center"/>
    </xf>
    <xf numFmtId="0" fontId="50" fillId="38" borderId="0" xfId="0" applyFont="1" applyFill="1" applyAlignment="1">
      <alignment vertical="center"/>
    </xf>
    <xf numFmtId="0" fontId="0" fillId="38" borderId="0" xfId="0" applyFill="1"/>
    <xf numFmtId="0" fontId="45" fillId="38" borderId="0" xfId="0" applyFont="1" applyFill="1" applyAlignment="1">
      <alignment horizontal="center" vertical="center"/>
    </xf>
    <xf numFmtId="0" fontId="45" fillId="38" borderId="0" xfId="0" applyFont="1" applyFill="1" applyAlignment="1">
      <alignment horizontal="left" vertical="center"/>
    </xf>
    <xf numFmtId="0" fontId="46" fillId="0" borderId="0" xfId="0" applyFont="1"/>
    <xf numFmtId="0" fontId="46" fillId="0" borderId="0" xfId="0" applyFont="1" applyAlignment="1">
      <alignment horizontal="center"/>
    </xf>
    <xf numFmtId="0" fontId="138" fillId="0" borderId="0" xfId="2" applyFont="1" applyFill="1" applyBorder="1" applyAlignment="1">
      <alignment horizontal="left" vertical="center" wrapText="1"/>
    </xf>
    <xf numFmtId="0" fontId="46" fillId="0" borderId="29" xfId="0" applyFont="1" applyBorder="1" applyAlignment="1">
      <alignment horizontal="center" vertical="center"/>
    </xf>
    <xf numFmtId="0" fontId="46" fillId="0" borderId="21" xfId="0" applyFont="1" applyBorder="1" applyAlignment="1">
      <alignment horizontal="center" vertical="center"/>
    </xf>
    <xf numFmtId="0" fontId="46" fillId="0" borderId="21" xfId="0" applyFont="1" applyBorder="1"/>
    <xf numFmtId="0" fontId="46" fillId="0" borderId="39" xfId="0" applyFont="1" applyBorder="1" applyAlignment="1">
      <alignment horizontal="center" vertical="center"/>
    </xf>
    <xf numFmtId="0" fontId="138" fillId="0" borderId="0" xfId="2" applyFont="1" applyBorder="1" applyAlignment="1">
      <alignment horizontal="left" vertical="center" wrapText="1"/>
    </xf>
    <xf numFmtId="0" fontId="46" fillId="0" borderId="17" xfId="0" applyFont="1" applyBorder="1" applyAlignment="1">
      <alignment horizontal="center" vertical="center"/>
    </xf>
    <xf numFmtId="0" fontId="46" fillId="0" borderId="17" xfId="0" applyFont="1" applyBorder="1"/>
    <xf numFmtId="0" fontId="46" fillId="0" borderId="20" xfId="0" applyFont="1" applyBorder="1" applyAlignment="1">
      <alignment horizontal="center" vertical="center"/>
    </xf>
    <xf numFmtId="0" fontId="46" fillId="0" borderId="38" xfId="0" applyFont="1" applyBorder="1" applyAlignment="1">
      <alignment horizontal="center" vertical="center"/>
    </xf>
    <xf numFmtId="0" fontId="46" fillId="0" borderId="0" xfId="0" applyFont="1" applyAlignment="1">
      <alignment horizontal="left" vertical="center"/>
    </xf>
    <xf numFmtId="0" fontId="46" fillId="7" borderId="37" xfId="0" applyFont="1" applyFill="1" applyBorder="1" applyAlignment="1">
      <alignment vertical="center" wrapText="1"/>
    </xf>
    <xf numFmtId="0" fontId="46" fillId="7" borderId="17" xfId="0" applyFont="1" applyFill="1" applyBorder="1" applyAlignment="1">
      <alignment horizontal="center" vertical="center"/>
    </xf>
    <xf numFmtId="9" fontId="46" fillId="7" borderId="17" xfId="0" applyNumberFormat="1" applyFont="1" applyFill="1" applyBorder="1" applyAlignment="1">
      <alignment horizontal="center" vertical="center"/>
    </xf>
    <xf numFmtId="0" fontId="46" fillId="7" borderId="38" xfId="0" applyFont="1" applyFill="1" applyBorder="1" applyAlignment="1">
      <alignment vertical="center" wrapText="1"/>
    </xf>
    <xf numFmtId="0" fontId="46" fillId="7" borderId="0" xfId="0" applyFont="1" applyFill="1" applyAlignment="1">
      <alignment vertical="center" wrapText="1"/>
    </xf>
    <xf numFmtId="0" fontId="39" fillId="0" borderId="0" xfId="0" applyFont="1" applyAlignment="1">
      <alignment horizontal="left" wrapText="1"/>
    </xf>
    <xf numFmtId="0" fontId="46" fillId="7" borderId="0" xfId="0" applyFont="1" applyFill="1"/>
    <xf numFmtId="0" fontId="138" fillId="0" borderId="0" xfId="2" applyFont="1" applyBorder="1" applyAlignment="1">
      <alignment horizontal="left" wrapText="1"/>
    </xf>
    <xf numFmtId="0" fontId="46" fillId="7" borderId="38" xfId="0" applyFont="1" applyFill="1" applyBorder="1" applyAlignment="1">
      <alignment horizontal="center" vertical="center" wrapText="1"/>
    </xf>
    <xf numFmtId="0" fontId="46" fillId="7" borderId="17" xfId="0" applyFont="1" applyFill="1" applyBorder="1" applyAlignment="1">
      <alignment horizontal="center" vertical="center" wrapText="1"/>
    </xf>
    <xf numFmtId="0" fontId="46" fillId="14" borderId="37" xfId="0" applyFont="1" applyFill="1" applyBorder="1" applyAlignment="1">
      <alignment horizontal="center" vertical="center" wrapText="1"/>
    </xf>
    <xf numFmtId="0" fontId="46" fillId="14" borderId="17" xfId="0" applyFont="1" applyFill="1" applyBorder="1" applyAlignment="1">
      <alignment horizontal="center" vertical="center"/>
    </xf>
    <xf numFmtId="9" fontId="46" fillId="14" borderId="17" xfId="0" applyNumberFormat="1" applyFont="1" applyFill="1" applyBorder="1" applyAlignment="1">
      <alignment horizontal="center" vertical="center"/>
    </xf>
    <xf numFmtId="11" fontId="138" fillId="0" borderId="0" xfId="2" applyNumberFormat="1" applyFont="1" applyBorder="1" applyAlignment="1">
      <alignment horizontal="left" vertical="center" wrapText="1"/>
    </xf>
    <xf numFmtId="11" fontId="141" fillId="0" borderId="0" xfId="0" applyNumberFormat="1" applyFont="1" applyAlignment="1">
      <alignment horizontal="left" vertical="center" wrapText="1"/>
    </xf>
    <xf numFmtId="0" fontId="46" fillId="7" borderId="37" xfId="0" applyFont="1" applyFill="1" applyBorder="1" applyAlignment="1">
      <alignment horizontal="center" vertical="center" wrapText="1"/>
    </xf>
    <xf numFmtId="174" fontId="46" fillId="7" borderId="17" xfId="0" applyNumberFormat="1" applyFont="1" applyFill="1" applyBorder="1" applyAlignment="1">
      <alignment horizontal="center" vertical="center"/>
    </xf>
    <xf numFmtId="0" fontId="46" fillId="7" borderId="18" xfId="0" applyFont="1" applyFill="1" applyBorder="1" applyAlignment="1">
      <alignment vertical="center" wrapText="1"/>
    </xf>
    <xf numFmtId="0" fontId="46" fillId="0" borderId="18" xfId="0" applyFont="1" applyBorder="1" applyAlignment="1">
      <alignment vertical="center" wrapText="1"/>
    </xf>
    <xf numFmtId="0" fontId="46" fillId="0" borderId="18" xfId="0" applyFont="1" applyBorder="1" applyAlignment="1">
      <alignment horizontal="center" vertical="center" wrapText="1"/>
    </xf>
    <xf numFmtId="0" fontId="89" fillId="0" borderId="0" xfId="0" applyFont="1" applyAlignment="1">
      <alignment vertical="center"/>
    </xf>
    <xf numFmtId="0" fontId="51" fillId="0" borderId="15" xfId="0" applyFont="1" applyBorder="1"/>
    <xf numFmtId="0" fontId="46" fillId="0" borderId="0" xfId="0" applyFont="1" applyAlignment="1">
      <alignment vertical="center"/>
    </xf>
    <xf numFmtId="0" fontId="46" fillId="10" borderId="0" xfId="0" applyFont="1" applyFill="1" applyAlignment="1">
      <alignment vertical="center"/>
    </xf>
    <xf numFmtId="0" fontId="46" fillId="10" borderId="0" xfId="0" applyFont="1" applyFill="1"/>
    <xf numFmtId="0" fontId="51" fillId="0" borderId="0" xfId="0" applyFont="1"/>
    <xf numFmtId="0" fontId="51" fillId="0" borderId="0" xfId="0" applyFont="1" applyAlignment="1">
      <alignment horizontal="center"/>
    </xf>
    <xf numFmtId="0" fontId="87" fillId="0" borderId="0" xfId="0" applyFont="1" applyAlignment="1">
      <alignment vertical="center"/>
    </xf>
    <xf numFmtId="0" fontId="17" fillId="0" borderId="0" xfId="0" applyFont="1" applyAlignment="1">
      <alignment horizontal="center" vertical="center"/>
    </xf>
    <xf numFmtId="0" fontId="89" fillId="0" borderId="0" xfId="0" applyFont="1"/>
    <xf numFmtId="0" fontId="89" fillId="0" borderId="42" xfId="0" applyFont="1" applyBorder="1"/>
    <xf numFmtId="2" fontId="89" fillId="21" borderId="7" xfId="0" applyNumberFormat="1" applyFont="1" applyFill="1" applyBorder="1" applyAlignment="1">
      <alignment horizontal="center" vertical="center" wrapText="1"/>
    </xf>
    <xf numFmtId="2" fontId="53" fillId="14" borderId="7" xfId="0" applyNumberFormat="1" applyFont="1" applyFill="1" applyBorder="1" applyAlignment="1">
      <alignment horizontal="center" vertical="center" wrapText="1"/>
    </xf>
    <xf numFmtId="2" fontId="53" fillId="14" borderId="4" xfId="0" applyNumberFormat="1" applyFont="1" applyFill="1" applyBorder="1" applyAlignment="1">
      <alignment horizontal="center" vertical="center" wrapText="1"/>
    </xf>
    <xf numFmtId="0" fontId="55" fillId="22" borderId="5" xfId="0" applyFont="1" applyFill="1" applyBorder="1" applyAlignment="1">
      <alignment horizontal="left" vertical="center" wrapText="1"/>
    </xf>
    <xf numFmtId="0" fontId="55" fillId="14" borderId="5" xfId="0" applyFont="1" applyFill="1" applyBorder="1" applyAlignment="1">
      <alignment horizontal="left" vertical="center" wrapText="1"/>
    </xf>
    <xf numFmtId="0" fontId="55" fillId="7" borderId="5" xfId="0" applyFont="1" applyFill="1" applyBorder="1" applyAlignment="1">
      <alignment horizontal="left" vertical="center" wrapText="1"/>
    </xf>
    <xf numFmtId="166" fontId="23" fillId="0" borderId="19" xfId="0" applyNumberFormat="1" applyFont="1" applyBorder="1" applyAlignment="1">
      <alignment horizontal="center" vertical="center" wrapText="1"/>
    </xf>
    <xf numFmtId="2" fontId="12" fillId="29" borderId="0" xfId="0" applyNumberFormat="1" applyFont="1" applyFill="1" applyAlignment="1">
      <alignment horizontal="center" vertical="center"/>
    </xf>
    <xf numFmtId="2" fontId="12" fillId="7" borderId="0" xfId="0" applyNumberFormat="1" applyFont="1" applyFill="1" applyAlignment="1">
      <alignment horizontal="center" vertical="center"/>
    </xf>
    <xf numFmtId="0" fontId="147" fillId="31" borderId="0" xfId="0" applyFont="1" applyFill="1" applyAlignment="1">
      <alignment horizontal="left" vertical="center" wrapText="1"/>
    </xf>
    <xf numFmtId="0" fontId="148" fillId="0" borderId="0" xfId="0" applyFont="1"/>
    <xf numFmtId="0" fontId="150" fillId="38" borderId="0" xfId="0" applyFont="1" applyFill="1" applyAlignment="1">
      <alignment vertical="center"/>
    </xf>
    <xf numFmtId="0" fontId="45" fillId="32" borderId="0" xfId="0" applyFont="1" applyFill="1" applyAlignment="1">
      <alignment vertical="center"/>
    </xf>
    <xf numFmtId="0" fontId="0" fillId="32" borderId="0" xfId="0" applyFill="1"/>
    <xf numFmtId="0" fontId="41" fillId="0" borderId="0" xfId="0" applyFont="1" applyAlignment="1">
      <alignment horizontal="left" vertical="center"/>
    </xf>
    <xf numFmtId="0" fontId="44" fillId="0" borderId="0" xfId="0" applyFont="1" applyAlignment="1">
      <alignment vertical="center"/>
    </xf>
    <xf numFmtId="0" fontId="49" fillId="0" borderId="0" xfId="0" applyFont="1" applyAlignment="1">
      <alignment horizontal="left" vertical="center"/>
    </xf>
    <xf numFmtId="0" fontId="0" fillId="0" borderId="82" xfId="0" applyBorder="1"/>
    <xf numFmtId="0" fontId="49" fillId="0" borderId="75" xfId="0" applyFont="1" applyBorder="1" applyAlignment="1">
      <alignment horizontal="left" vertical="center"/>
    </xf>
    <xf numFmtId="0" fontId="0" fillId="0" borderId="84" xfId="0" applyBorder="1"/>
    <xf numFmtId="0" fontId="39" fillId="0" borderId="85" xfId="0" applyFont="1" applyBorder="1" applyAlignment="1">
      <alignment horizontal="left" vertical="center" wrapText="1"/>
    </xf>
    <xf numFmtId="0" fontId="39" fillId="0" borderId="85" xfId="0" applyFont="1" applyBorder="1" applyAlignment="1">
      <alignment horizontal="center" vertical="center"/>
    </xf>
    <xf numFmtId="0" fontId="48" fillId="0" borderId="85" xfId="0" applyFont="1" applyBorder="1" applyAlignment="1">
      <alignment horizontal="center" vertical="center"/>
    </xf>
    <xf numFmtId="0" fontId="44" fillId="35" borderId="73" xfId="0" applyFont="1" applyFill="1" applyBorder="1" applyAlignment="1">
      <alignment vertical="center"/>
    </xf>
    <xf numFmtId="0" fontId="44" fillId="35" borderId="74" xfId="0" applyFont="1" applyFill="1" applyBorder="1" applyAlignment="1">
      <alignment vertical="center"/>
    </xf>
    <xf numFmtId="0" fontId="44" fillId="0" borderId="76" xfId="0" applyFont="1" applyBorder="1" applyAlignment="1">
      <alignment vertical="center"/>
    </xf>
    <xf numFmtId="0" fontId="41" fillId="0" borderId="76" xfId="0" applyFont="1" applyBorder="1" applyAlignment="1">
      <alignment horizontal="left" vertical="center"/>
    </xf>
    <xf numFmtId="0" fontId="39" fillId="0" borderId="76" xfId="0" applyFont="1" applyBorder="1" applyAlignment="1">
      <alignment vertical="center"/>
    </xf>
    <xf numFmtId="0" fontId="39" fillId="0" borderId="85" xfId="0" applyFont="1" applyBorder="1" applyAlignment="1">
      <alignment vertical="center"/>
    </xf>
    <xf numFmtId="0" fontId="39" fillId="0" borderId="86" xfId="0" applyFont="1" applyBorder="1" applyAlignment="1">
      <alignment vertical="center"/>
    </xf>
    <xf numFmtId="0" fontId="82" fillId="0" borderId="7" xfId="0" applyFont="1" applyBorder="1" applyAlignment="1">
      <alignment horizontal="center" vertical="center" wrapText="1"/>
    </xf>
    <xf numFmtId="0" fontId="39" fillId="28" borderId="36" xfId="0" applyFont="1" applyFill="1" applyBorder="1"/>
    <xf numFmtId="0" fontId="49" fillId="32" borderId="0" xfId="0" applyFont="1" applyFill="1" applyAlignment="1">
      <alignment vertical="center"/>
    </xf>
    <xf numFmtId="0" fontId="0" fillId="0" borderId="83" xfId="0" applyBorder="1"/>
    <xf numFmtId="0" fontId="41" fillId="0" borderId="83" xfId="0" applyFont="1" applyBorder="1" applyAlignment="1">
      <alignment horizontal="left" vertical="center"/>
    </xf>
    <xf numFmtId="0" fontId="39" fillId="0" borderId="83" xfId="0" applyFont="1" applyBorder="1" applyAlignment="1">
      <alignment vertical="center"/>
    </xf>
    <xf numFmtId="0" fontId="107" fillId="28" borderId="5" xfId="0" applyFont="1" applyFill="1" applyBorder="1" applyAlignment="1">
      <alignment vertical="center" wrapText="1"/>
    </xf>
    <xf numFmtId="0" fontId="0" fillId="0" borderId="0" xfId="0" applyAlignment="1">
      <alignment horizontal="left" vertical="center"/>
    </xf>
    <xf numFmtId="0" fontId="59" fillId="4" borderId="42" xfId="0" applyFont="1" applyFill="1" applyBorder="1" applyAlignment="1">
      <alignment vertical="center"/>
    </xf>
    <xf numFmtId="4" fontId="89" fillId="22" borderId="7" xfId="0" applyNumberFormat="1" applyFont="1" applyFill="1" applyBorder="1" applyAlignment="1">
      <alignment horizontal="center" vertical="center" wrapText="1"/>
    </xf>
    <xf numFmtId="4" fontId="89" fillId="21" borderId="7" xfId="0" applyNumberFormat="1" applyFont="1" applyFill="1" applyBorder="1" applyAlignment="1">
      <alignment horizontal="center" vertical="center" wrapText="1"/>
    </xf>
    <xf numFmtId="4" fontId="89" fillId="14" borderId="7" xfId="0" applyNumberFormat="1" applyFont="1" applyFill="1" applyBorder="1" applyAlignment="1">
      <alignment horizontal="center" vertical="center" wrapText="1"/>
    </xf>
    <xf numFmtId="4" fontId="53" fillId="7" borderId="7" xfId="0" applyNumberFormat="1" applyFont="1" applyFill="1" applyBorder="1" applyAlignment="1">
      <alignment horizontal="center" vertical="center" wrapText="1"/>
    </xf>
    <xf numFmtId="0" fontId="55" fillId="0" borderId="67" xfId="0" applyFont="1" applyBorder="1" applyAlignment="1">
      <alignment horizontal="left" vertical="center" wrapText="1"/>
    </xf>
    <xf numFmtId="4" fontId="89" fillId="22" borderId="4" xfId="0" applyNumberFormat="1" applyFont="1" applyFill="1" applyBorder="1" applyAlignment="1">
      <alignment horizontal="center" vertical="center" wrapText="1"/>
    </xf>
    <xf numFmtId="4" fontId="89" fillId="14" borderId="4" xfId="0" applyNumberFormat="1" applyFont="1" applyFill="1" applyBorder="1" applyAlignment="1">
      <alignment horizontal="center" vertical="center" wrapText="1"/>
    </xf>
    <xf numFmtId="4" fontId="53" fillId="7" borderId="4" xfId="0" applyNumberFormat="1" applyFont="1" applyFill="1" applyBorder="1" applyAlignment="1">
      <alignment horizontal="center" vertical="center" wrapText="1"/>
    </xf>
    <xf numFmtId="4" fontId="89" fillId="10" borderId="4" xfId="0" applyNumberFormat="1" applyFont="1" applyFill="1" applyBorder="1" applyAlignment="1">
      <alignment horizontal="center" vertical="center" wrapText="1"/>
    </xf>
    <xf numFmtId="4" fontId="89" fillId="21" borderId="4" xfId="0" applyNumberFormat="1" applyFont="1" applyFill="1" applyBorder="1" applyAlignment="1">
      <alignment horizontal="center" vertical="center" wrapText="1"/>
    </xf>
    <xf numFmtId="0" fontId="154" fillId="4" borderId="0" xfId="0" applyFont="1" applyFill="1" applyAlignment="1">
      <alignment horizontal="center" vertical="center" wrapText="1"/>
    </xf>
    <xf numFmtId="3" fontId="53" fillId="14" borderId="7" xfId="0" applyNumberFormat="1" applyFont="1" applyFill="1" applyBorder="1" applyAlignment="1">
      <alignment horizontal="center" vertical="center" wrapText="1"/>
    </xf>
    <xf numFmtId="3" fontId="53" fillId="14" borderId="4" xfId="0" applyNumberFormat="1" applyFont="1" applyFill="1" applyBorder="1" applyAlignment="1">
      <alignment horizontal="center" vertical="center" wrapText="1"/>
    </xf>
    <xf numFmtId="0" fontId="52" fillId="2" borderId="0" xfId="0" applyFont="1" applyFill="1"/>
    <xf numFmtId="0" fontId="51" fillId="2" borderId="0" xfId="0" applyFont="1" applyFill="1"/>
    <xf numFmtId="0" fontId="155" fillId="2" borderId="0" xfId="0" applyFont="1" applyFill="1"/>
    <xf numFmtId="4" fontId="89" fillId="0" borderId="0" xfId="0" applyNumberFormat="1" applyFont="1" applyAlignment="1">
      <alignment horizontal="center" vertical="center" wrapText="1"/>
    </xf>
    <xf numFmtId="14" fontId="125" fillId="0" borderId="0" xfId="7" applyNumberFormat="1" applyFont="1" applyFill="1" applyBorder="1" applyAlignment="1" applyProtection="1">
      <alignment horizontal="left" vertical="center"/>
      <protection locked="0"/>
    </xf>
    <xf numFmtId="0" fontId="125" fillId="0" borderId="0" xfId="7" applyFont="1" applyFill="1" applyBorder="1" applyAlignment="1" applyProtection="1">
      <alignment vertical="center"/>
      <protection locked="0"/>
    </xf>
    <xf numFmtId="0" fontId="125" fillId="0" borderId="0" xfId="7" applyFont="1" applyFill="1" applyBorder="1" applyAlignment="1" applyProtection="1">
      <alignment horizontal="left" vertical="center"/>
      <protection locked="0"/>
    </xf>
    <xf numFmtId="0" fontId="112" fillId="0" borderId="0" xfId="0" applyFont="1" applyAlignment="1">
      <alignment vertical="center" wrapText="1"/>
    </xf>
    <xf numFmtId="0" fontId="124" fillId="0" borderId="0" xfId="0" applyFont="1" applyAlignment="1">
      <alignment horizontal="left" vertical="center" wrapText="1"/>
    </xf>
    <xf numFmtId="0" fontId="156" fillId="28" borderId="5" xfId="0" applyFont="1" applyFill="1" applyBorder="1" applyAlignment="1">
      <alignment horizontal="center" vertical="center" wrapText="1"/>
    </xf>
    <xf numFmtId="2" fontId="156" fillId="28" borderId="5" xfId="0" applyNumberFormat="1" applyFont="1" applyFill="1" applyBorder="1" applyAlignment="1">
      <alignment horizontal="center" vertical="center" wrapText="1"/>
    </xf>
    <xf numFmtId="0" fontId="50" fillId="0" borderId="43" xfId="0" applyFont="1" applyBorder="1" applyAlignment="1">
      <alignment vertical="center"/>
    </xf>
    <xf numFmtId="0" fontId="50" fillId="0" borderId="42" xfId="0" applyFont="1" applyBorder="1" applyAlignment="1">
      <alignment vertical="center"/>
    </xf>
    <xf numFmtId="0" fontId="113" fillId="0" borderId="0" xfId="0" applyFont="1" applyAlignment="1">
      <alignment vertical="center" wrapText="1"/>
    </xf>
    <xf numFmtId="166" fontId="80" fillId="0" borderId="20" xfId="0" applyNumberFormat="1" applyFont="1" applyBorder="1" applyAlignment="1">
      <alignment horizontal="center" vertical="center" wrapText="1"/>
    </xf>
    <xf numFmtId="172" fontId="80" fillId="0" borderId="20" xfId="0" applyNumberFormat="1" applyFont="1" applyBorder="1" applyAlignment="1">
      <alignment horizontal="center" vertical="center" wrapText="1"/>
    </xf>
    <xf numFmtId="175" fontId="80" fillId="0" borderId="17" xfId="0" applyNumberFormat="1" applyFont="1" applyBorder="1" applyAlignment="1">
      <alignment horizontal="center" vertical="center" wrapText="1"/>
    </xf>
    <xf numFmtId="2" fontId="99" fillId="31" borderId="0" xfId="0" applyNumberFormat="1" applyFont="1" applyFill="1" applyAlignment="1">
      <alignment horizontal="left" vertical="center" wrapText="1"/>
    </xf>
    <xf numFmtId="4" fontId="53" fillId="14" borderId="7" xfId="0" applyNumberFormat="1" applyFont="1" applyFill="1" applyBorder="1" applyAlignment="1">
      <alignment horizontal="center" vertical="center" wrapText="1"/>
    </xf>
    <xf numFmtId="4" fontId="53" fillId="14" borderId="4" xfId="0" applyNumberFormat="1" applyFont="1" applyFill="1" applyBorder="1" applyAlignment="1">
      <alignment horizontal="center" vertical="center" wrapText="1"/>
    </xf>
    <xf numFmtId="2" fontId="89" fillId="22" borderId="7" xfId="0" applyNumberFormat="1" applyFont="1" applyFill="1" applyBorder="1" applyAlignment="1">
      <alignment horizontal="center" vertical="center" wrapText="1"/>
    </xf>
    <xf numFmtId="2" fontId="89" fillId="22" borderId="4" xfId="0" applyNumberFormat="1" applyFont="1" applyFill="1" applyBorder="1" applyAlignment="1">
      <alignment horizontal="center" vertical="center" wrapText="1"/>
    </xf>
    <xf numFmtId="167" fontId="89" fillId="22" borderId="7" xfId="0" applyNumberFormat="1" applyFont="1" applyFill="1" applyBorder="1" applyAlignment="1">
      <alignment horizontal="center" vertical="center" wrapText="1"/>
    </xf>
    <xf numFmtId="167" fontId="89" fillId="22" borderId="4" xfId="0" applyNumberFormat="1" applyFont="1" applyFill="1" applyBorder="1" applyAlignment="1">
      <alignment horizontal="center" vertical="center" wrapText="1"/>
    </xf>
    <xf numFmtId="167" fontId="89" fillId="14" borderId="7" xfId="0" applyNumberFormat="1" applyFont="1" applyFill="1" applyBorder="1" applyAlignment="1">
      <alignment horizontal="center" vertical="center" wrapText="1"/>
    </xf>
    <xf numFmtId="167" fontId="89" fillId="14" borderId="4" xfId="0" applyNumberFormat="1" applyFont="1" applyFill="1" applyBorder="1" applyAlignment="1">
      <alignment horizontal="center" vertical="center" wrapText="1"/>
    </xf>
    <xf numFmtId="167" fontId="53" fillId="7" borderId="7" xfId="0" applyNumberFormat="1" applyFont="1" applyFill="1" applyBorder="1" applyAlignment="1">
      <alignment horizontal="center" vertical="center" wrapText="1"/>
    </xf>
    <xf numFmtId="167" fontId="53" fillId="7" borderId="4" xfId="0" applyNumberFormat="1" applyFont="1" applyFill="1" applyBorder="1" applyAlignment="1">
      <alignment horizontal="center" vertical="center" wrapText="1"/>
    </xf>
    <xf numFmtId="167" fontId="89" fillId="21" borderId="7" xfId="0" applyNumberFormat="1" applyFont="1" applyFill="1" applyBorder="1" applyAlignment="1">
      <alignment horizontal="center" vertical="center" wrapText="1"/>
    </xf>
    <xf numFmtId="167" fontId="89" fillId="10" borderId="4" xfId="0" applyNumberFormat="1" applyFont="1" applyFill="1" applyBorder="1" applyAlignment="1">
      <alignment horizontal="center" vertical="center" wrapText="1"/>
    </xf>
    <xf numFmtId="176" fontId="23" fillId="0" borderId="0" xfId="0" applyNumberFormat="1" applyFont="1" applyAlignment="1">
      <alignment horizontal="center" vertical="center" wrapText="1"/>
    </xf>
    <xf numFmtId="180" fontId="80" fillId="0" borderId="20" xfId="0" applyNumberFormat="1" applyFont="1" applyBorder="1" applyAlignment="1">
      <alignment horizontal="center" vertical="center" wrapText="1"/>
    </xf>
    <xf numFmtId="175" fontId="80" fillId="0" borderId="0" xfId="0" applyNumberFormat="1" applyFont="1" applyAlignment="1">
      <alignment horizontal="center" vertical="center" wrapText="1"/>
    </xf>
    <xf numFmtId="0" fontId="59" fillId="0" borderId="0" xfId="0" applyFont="1" applyAlignment="1">
      <alignment vertical="center"/>
    </xf>
    <xf numFmtId="14" fontId="125" fillId="0" borderId="0" xfId="7" applyNumberFormat="1" applyFont="1" applyFill="1" applyBorder="1" applyAlignment="1" applyProtection="1">
      <alignment vertical="center"/>
      <protection locked="0"/>
    </xf>
    <xf numFmtId="0" fontId="160" fillId="10" borderId="0" xfId="6" applyFont="1" applyFill="1"/>
    <xf numFmtId="0" fontId="161" fillId="10" borderId="0" xfId="6" applyFont="1" applyFill="1"/>
    <xf numFmtId="0" fontId="160" fillId="10" borderId="0" xfId="6" applyFont="1" applyFill="1" applyAlignment="1">
      <alignment horizontal="center"/>
    </xf>
    <xf numFmtId="0" fontId="161" fillId="10" borderId="0" xfId="6" applyFont="1" applyFill="1" applyAlignment="1">
      <alignment horizontal="center"/>
    </xf>
    <xf numFmtId="0" fontId="163" fillId="10" borderId="0" xfId="6" applyFont="1" applyFill="1" applyAlignment="1">
      <alignment vertical="center"/>
    </xf>
    <xf numFmtId="0" fontId="165" fillId="10" borderId="0" xfId="6" applyFont="1" applyFill="1"/>
    <xf numFmtId="0" fontId="168" fillId="10" borderId="0" xfId="6" applyFont="1" applyFill="1"/>
    <xf numFmtId="0" fontId="168" fillId="10" borderId="0" xfId="6" applyFont="1" applyFill="1" applyAlignment="1">
      <alignment vertical="center"/>
    </xf>
    <xf numFmtId="0" fontId="165" fillId="0" borderId="0" xfId="6" applyFont="1"/>
    <xf numFmtId="0" fontId="51" fillId="10" borderId="0" xfId="6" applyFont="1" applyFill="1"/>
    <xf numFmtId="0" fontId="51" fillId="10" borderId="0" xfId="6" applyFont="1" applyFill="1" applyAlignment="1">
      <alignment horizontal="left" vertical="center" wrapText="1"/>
    </xf>
    <xf numFmtId="0" fontId="155" fillId="10" borderId="0" xfId="6" applyFont="1" applyFill="1" applyAlignment="1">
      <alignment horizontal="right" vertical="top" wrapText="1"/>
    </xf>
    <xf numFmtId="0" fontId="51" fillId="10" borderId="0" xfId="6" applyFont="1" applyFill="1" applyAlignment="1">
      <alignment horizontal="left" vertical="top" wrapText="1"/>
    </xf>
    <xf numFmtId="0" fontId="155" fillId="10" borderId="0" xfId="6" applyFont="1" applyFill="1" applyAlignment="1">
      <alignment horizontal="right" vertical="center" indent="1"/>
    </xf>
    <xf numFmtId="0" fontId="169" fillId="0" borderId="0" xfId="0" applyFont="1"/>
    <xf numFmtId="0" fontId="169" fillId="0" borderId="0" xfId="0" applyFont="1" applyAlignment="1">
      <alignment horizontal="left" vertical="center"/>
    </xf>
    <xf numFmtId="0" fontId="46" fillId="0" borderId="50" xfId="0" applyFont="1" applyBorder="1" applyAlignment="1">
      <alignment horizontal="left" vertical="center" wrapText="1"/>
    </xf>
    <xf numFmtId="0" fontId="50" fillId="4" borderId="32" xfId="0" applyFont="1" applyFill="1" applyBorder="1" applyAlignment="1">
      <alignment horizontal="center" vertical="center"/>
    </xf>
    <xf numFmtId="0" fontId="51" fillId="10" borderId="0" xfId="6" applyFont="1" applyFill="1" applyAlignment="1">
      <alignment vertical="center" wrapText="1"/>
    </xf>
    <xf numFmtId="0" fontId="51" fillId="10" borderId="0" xfId="6" applyFont="1" applyFill="1" applyAlignment="1">
      <alignment vertical="top" wrapText="1"/>
    </xf>
    <xf numFmtId="0" fontId="160" fillId="10" borderId="0" xfId="6" applyFont="1" applyFill="1" applyAlignment="1">
      <alignment vertical="center"/>
    </xf>
    <xf numFmtId="0" fontId="161" fillId="10" borderId="0" xfId="6" applyFont="1" applyFill="1" applyAlignment="1">
      <alignment vertical="center"/>
    </xf>
    <xf numFmtId="0" fontId="89" fillId="0" borderId="0" xfId="0" applyFont="1" applyAlignment="1">
      <alignment horizontal="left" vertical="top"/>
    </xf>
    <xf numFmtId="0" fontId="89" fillId="0" borderId="0" xfId="0" applyFont="1" applyAlignment="1">
      <alignment vertical="top" wrapText="1"/>
    </xf>
    <xf numFmtId="0" fontId="89" fillId="0" borderId="0" xfId="0" applyFont="1" applyAlignment="1">
      <alignment vertical="top"/>
    </xf>
    <xf numFmtId="0" fontId="155" fillId="10" borderId="0" xfId="6" applyFont="1" applyFill="1" applyAlignment="1">
      <alignment vertical="top"/>
    </xf>
    <xf numFmtId="0" fontId="46" fillId="10" borderId="0" xfId="6" applyFont="1" applyFill="1" applyAlignment="1">
      <alignment vertical="center" wrapText="1"/>
    </xf>
    <xf numFmtId="0" fontId="169" fillId="45" borderId="104" xfId="0" applyFont="1" applyFill="1" applyBorder="1" applyAlignment="1">
      <alignment vertical="center" wrapText="1"/>
    </xf>
    <xf numFmtId="0" fontId="90" fillId="0" borderId="0" xfId="0" applyFont="1" applyAlignment="1">
      <alignment horizontal="left" vertical="center"/>
    </xf>
    <xf numFmtId="0" fontId="178" fillId="0" borderId="111" xfId="0" applyFont="1" applyBorder="1" applyAlignment="1">
      <alignment horizontal="right" vertical="top" wrapText="1"/>
    </xf>
    <xf numFmtId="0" fontId="55" fillId="0" borderId="0" xfId="0" applyFont="1" applyAlignment="1">
      <alignment vertical="center"/>
    </xf>
    <xf numFmtId="0" fontId="61" fillId="0" borderId="0" xfId="0" applyFont="1" applyAlignment="1">
      <alignment vertical="center"/>
    </xf>
    <xf numFmtId="3" fontId="46" fillId="0" borderId="0" xfId="0" applyNumberFormat="1" applyFont="1" applyAlignment="1">
      <alignment horizontal="center" vertical="center" wrapText="1"/>
    </xf>
    <xf numFmtId="0" fontId="53" fillId="0" borderId="115" xfId="0" applyFont="1" applyBorder="1" applyAlignment="1">
      <alignment vertical="top" wrapText="1"/>
    </xf>
    <xf numFmtId="0" fontId="53" fillId="0" borderId="116" xfId="0" applyFont="1" applyBorder="1" applyAlignment="1">
      <alignment vertical="top" wrapText="1"/>
    </xf>
    <xf numFmtId="0" fontId="53" fillId="0" borderId="114" xfId="0" applyFont="1" applyBorder="1" applyAlignment="1">
      <alignment horizontal="left" vertical="top" wrapText="1"/>
    </xf>
    <xf numFmtId="0" fontId="107" fillId="28" borderId="66" xfId="0" applyFont="1" applyFill="1" applyBorder="1" applyAlignment="1">
      <alignment vertical="center" wrapText="1"/>
    </xf>
    <xf numFmtId="0" fontId="107" fillId="28" borderId="66" xfId="0" applyFont="1" applyFill="1" applyBorder="1" applyAlignment="1">
      <alignment horizontal="center" vertical="center" wrapText="1"/>
    </xf>
    <xf numFmtId="0" fontId="107" fillId="28" borderId="0" xfId="0" applyFont="1" applyFill="1" applyAlignment="1">
      <alignment horizontal="center" vertical="center" wrapText="1"/>
    </xf>
    <xf numFmtId="0" fontId="107" fillId="28" borderId="9" xfId="0" applyFont="1" applyFill="1" applyBorder="1" applyAlignment="1">
      <alignment horizontal="center" vertical="center" wrapText="1"/>
    </xf>
    <xf numFmtId="0" fontId="107" fillId="28" borderId="6" xfId="0" applyFont="1" applyFill="1" applyBorder="1" applyAlignment="1">
      <alignment vertical="center" wrapText="1"/>
    </xf>
    <xf numFmtId="14" fontId="128" fillId="0" borderId="0" xfId="7" applyNumberFormat="1" applyFont="1" applyFill="1" applyBorder="1" applyAlignment="1" applyProtection="1">
      <alignment horizontal="left" vertical="center"/>
      <protection locked="0"/>
    </xf>
    <xf numFmtId="0" fontId="128" fillId="0" borderId="0" xfId="7" applyFont="1" applyFill="1" applyBorder="1" applyAlignment="1" applyProtection="1">
      <alignment horizontal="left" vertical="center"/>
      <protection locked="0"/>
    </xf>
    <xf numFmtId="0" fontId="129" fillId="0" borderId="0" xfId="0" applyFont="1" applyAlignment="1">
      <alignment horizontal="left"/>
    </xf>
    <xf numFmtId="0" fontId="118" fillId="0" borderId="0" xfId="0" applyFont="1" applyAlignment="1">
      <alignment vertical="center" wrapText="1"/>
    </xf>
    <xf numFmtId="0" fontId="184" fillId="28" borderId="5" xfId="0" applyFont="1" applyFill="1" applyBorder="1" applyAlignment="1">
      <alignment horizontal="center" vertical="center" wrapText="1"/>
    </xf>
    <xf numFmtId="0" fontId="107" fillId="28" borderId="11" xfId="0" applyFont="1" applyFill="1" applyBorder="1" applyAlignment="1">
      <alignment horizontal="center" vertical="center" wrapText="1"/>
    </xf>
    <xf numFmtId="0" fontId="107" fillId="28" borderId="11" xfId="0" applyFont="1" applyFill="1" applyBorder="1" applyAlignment="1">
      <alignment vertical="center" wrapText="1"/>
    </xf>
    <xf numFmtId="0" fontId="107" fillId="28" borderId="68" xfId="0" applyFont="1" applyFill="1" applyBorder="1" applyAlignment="1">
      <alignment vertical="center" wrapText="1"/>
    </xf>
    <xf numFmtId="0" fontId="107" fillId="28" borderId="67" xfId="0" applyFont="1" applyFill="1" applyBorder="1" applyAlignment="1">
      <alignment vertical="center" wrapText="1"/>
    </xf>
    <xf numFmtId="0" fontId="53" fillId="10" borderId="0" xfId="6" applyFont="1" applyFill="1" applyAlignment="1">
      <alignment vertical="center"/>
    </xf>
    <xf numFmtId="0" fontId="52" fillId="10" borderId="0" xfId="6" applyFont="1" applyFill="1" applyAlignment="1">
      <alignment horizontal="right" vertical="center" indent="1"/>
    </xf>
    <xf numFmtId="0" fontId="53" fillId="10" borderId="0" xfId="6" applyFont="1" applyFill="1" applyAlignment="1">
      <alignment horizontal="left" vertical="center" wrapText="1"/>
    </xf>
    <xf numFmtId="0" fontId="53" fillId="0" borderId="0" xfId="6" applyFont="1" applyAlignment="1">
      <alignment horizontal="left" vertical="center"/>
    </xf>
    <xf numFmtId="0" fontId="178" fillId="10" borderId="0" xfId="6" applyFont="1" applyFill="1" applyAlignment="1">
      <alignment vertical="top" wrapText="1"/>
    </xf>
    <xf numFmtId="0" fontId="53" fillId="10" borderId="0" xfId="6" applyFont="1" applyFill="1" applyAlignment="1">
      <alignment horizontal="left" vertical="top" wrapText="1"/>
    </xf>
    <xf numFmtId="0" fontId="107" fillId="28" borderId="7" xfId="0" applyFont="1" applyFill="1" applyBorder="1" applyAlignment="1">
      <alignment horizontal="center" vertical="center" wrapText="1"/>
    </xf>
    <xf numFmtId="0" fontId="149" fillId="28" borderId="67" xfId="0" applyFont="1" applyFill="1" applyBorder="1" applyAlignment="1">
      <alignment horizontal="left" vertical="center"/>
    </xf>
    <xf numFmtId="0" fontId="54" fillId="28" borderId="67" xfId="0" applyFont="1" applyFill="1" applyBorder="1" applyAlignment="1">
      <alignment horizontal="center" vertical="center"/>
    </xf>
    <xf numFmtId="0" fontId="149" fillId="28" borderId="0" xfId="0" applyFont="1" applyFill="1" applyAlignment="1">
      <alignment horizontal="left" vertical="center"/>
    </xf>
    <xf numFmtId="0" fontId="89" fillId="0" borderId="13" xfId="0" applyFont="1" applyBorder="1" applyAlignment="1">
      <alignment horizontal="center" vertical="center" wrapText="1"/>
    </xf>
    <xf numFmtId="0" fontId="55" fillId="0" borderId="0" xfId="0" applyFont="1" applyAlignment="1">
      <alignment horizontal="left" vertical="center" wrapText="1"/>
    </xf>
    <xf numFmtId="0" fontId="142" fillId="0" borderId="110" xfId="0" applyFont="1" applyBorder="1" applyAlignment="1">
      <alignment horizontal="right" vertical="top" wrapText="1"/>
    </xf>
    <xf numFmtId="0" fontId="52" fillId="46" borderId="5" xfId="0" applyFont="1" applyFill="1" applyBorder="1" applyAlignment="1">
      <alignment horizontal="left" vertical="center" wrapText="1"/>
    </xf>
    <xf numFmtId="0" fontId="53" fillId="46" borderId="6" xfId="0" applyFont="1" applyFill="1" applyBorder="1" applyAlignment="1">
      <alignment horizontal="center" vertical="center"/>
    </xf>
    <xf numFmtId="167" fontId="53" fillId="46" borderId="7" xfId="0" applyNumberFormat="1" applyFont="1" applyFill="1" applyBorder="1" applyAlignment="1">
      <alignment horizontal="center" vertical="center" wrapText="1"/>
    </xf>
    <xf numFmtId="167" fontId="53" fillId="46" borderId="4" xfId="0" applyNumberFormat="1" applyFont="1" applyFill="1" applyBorder="1" applyAlignment="1">
      <alignment horizontal="center" vertical="center" wrapText="1"/>
    </xf>
    <xf numFmtId="167" fontId="89" fillId="0" borderId="0" xfId="0" applyNumberFormat="1" applyFont="1" applyAlignment="1">
      <alignment horizontal="center" vertical="center" wrapText="1"/>
    </xf>
    <xf numFmtId="0" fontId="53" fillId="0" borderId="0" xfId="0" applyFont="1" applyAlignment="1">
      <alignment horizontal="left" vertical="center" wrapText="1"/>
    </xf>
    <xf numFmtId="0" fontId="197" fillId="4" borderId="0" xfId="2" applyFont="1" applyFill="1" applyAlignment="1">
      <alignment horizontal="center" vertical="center" wrapText="1"/>
    </xf>
    <xf numFmtId="0" fontId="89" fillId="41" borderId="5" xfId="0" applyFont="1" applyFill="1" applyBorder="1" applyAlignment="1">
      <alignment horizontal="left" vertical="center" wrapText="1"/>
    </xf>
    <xf numFmtId="167" fontId="89" fillId="41" borderId="7" xfId="0" applyNumberFormat="1" applyFont="1" applyFill="1" applyBorder="1" applyAlignment="1">
      <alignment horizontal="center" vertical="center" wrapText="1"/>
    </xf>
    <xf numFmtId="167" fontId="89" fillId="41" borderId="4" xfId="0" applyNumberFormat="1" applyFont="1" applyFill="1" applyBorder="1" applyAlignment="1">
      <alignment horizontal="center" vertical="center" wrapText="1"/>
    </xf>
    <xf numFmtId="0" fontId="79" fillId="28" borderId="7" xfId="0" applyFont="1" applyFill="1" applyBorder="1" applyAlignment="1">
      <alignment horizontal="center" vertical="center" wrapText="1"/>
    </xf>
    <xf numFmtId="0" fontId="80" fillId="28" borderId="7" xfId="0" applyFont="1" applyFill="1" applyBorder="1" applyAlignment="1">
      <alignment horizontal="center" vertical="center" wrapText="1"/>
    </xf>
    <xf numFmtId="0" fontId="86" fillId="28" borderId="7" xfId="0" applyFont="1" applyFill="1" applyBorder="1" applyAlignment="1">
      <alignment horizontal="center" vertical="center" wrapText="1"/>
    </xf>
    <xf numFmtId="2" fontId="80" fillId="28" borderId="7" xfId="0" applyNumberFormat="1" applyFont="1" applyFill="1" applyBorder="1" applyAlignment="1">
      <alignment horizontal="center" vertical="center" wrapText="1"/>
    </xf>
    <xf numFmtId="176" fontId="80" fillId="28" borderId="7" xfId="0" applyNumberFormat="1" applyFont="1" applyFill="1" applyBorder="1" applyAlignment="1">
      <alignment horizontal="center" vertical="center" wrapText="1"/>
    </xf>
    <xf numFmtId="2" fontId="111" fillId="28" borderId="7" xfId="0" applyNumberFormat="1" applyFont="1" applyFill="1" applyBorder="1" applyAlignment="1">
      <alignment horizontal="center" vertical="center" wrapText="1"/>
    </xf>
    <xf numFmtId="1" fontId="80" fillId="28" borderId="7" xfId="0" applyNumberFormat="1" applyFont="1" applyFill="1" applyBorder="1" applyAlignment="1">
      <alignment horizontal="center" vertical="center" wrapText="1"/>
    </xf>
    <xf numFmtId="166" fontId="80" fillId="28" borderId="7" xfId="0" applyNumberFormat="1" applyFont="1" applyFill="1" applyBorder="1" applyAlignment="1">
      <alignment horizontal="center" vertical="center" wrapText="1"/>
    </xf>
    <xf numFmtId="0" fontId="80" fillId="28" borderId="14" xfId="0" applyFont="1" applyFill="1" applyBorder="1" applyAlignment="1">
      <alignment horizontal="center" vertical="center" wrapText="1"/>
    </xf>
    <xf numFmtId="176" fontId="80" fillId="0" borderId="39" xfId="0" applyNumberFormat="1" applyFont="1" applyBorder="1" applyAlignment="1">
      <alignment horizontal="center" vertical="center" wrapText="1"/>
    </xf>
    <xf numFmtId="2" fontId="80" fillId="28" borderId="14" xfId="0" applyNumberFormat="1" applyFont="1" applyFill="1" applyBorder="1" applyAlignment="1">
      <alignment horizontal="center" vertical="center" wrapText="1"/>
    </xf>
    <xf numFmtId="166" fontId="80" fillId="0" borderId="29" xfId="0" applyNumberFormat="1" applyFont="1" applyBorder="1" applyAlignment="1">
      <alignment horizontal="center" vertical="center" wrapText="1"/>
    </xf>
    <xf numFmtId="1" fontId="80" fillId="28" borderId="14" xfId="0" applyNumberFormat="1" applyFont="1" applyFill="1" applyBorder="1" applyAlignment="1">
      <alignment horizontal="center" vertical="center" wrapText="1"/>
    </xf>
    <xf numFmtId="0" fontId="79" fillId="7" borderId="7" xfId="0" applyFont="1" applyFill="1" applyBorder="1" applyAlignment="1">
      <alignment horizontal="center" vertical="center" wrapText="1"/>
    </xf>
    <xf numFmtId="0" fontId="86" fillId="27" borderId="7" xfId="0" applyFont="1" applyFill="1" applyBorder="1" applyAlignment="1">
      <alignment horizontal="center" vertical="center" wrapText="1"/>
    </xf>
    <xf numFmtId="0" fontId="79" fillId="0" borderId="7" xfId="0" applyFont="1" applyBorder="1" applyAlignment="1">
      <alignment horizontal="center" vertical="center" wrapText="1"/>
    </xf>
    <xf numFmtId="0" fontId="80" fillId="0" borderId="7" xfId="0" applyFont="1" applyBorder="1" applyAlignment="1">
      <alignment horizontal="center" vertical="center" wrapText="1"/>
    </xf>
    <xf numFmtId="2" fontId="80" fillId="0" borderId="7" xfId="0" applyNumberFormat="1" applyFont="1" applyBorder="1" applyAlignment="1">
      <alignment horizontal="center" vertical="center" wrapText="1"/>
    </xf>
    <xf numFmtId="166" fontId="80" fillId="0" borderId="7" xfId="0" applyNumberFormat="1" applyFont="1" applyBorder="1" applyAlignment="1">
      <alignment horizontal="center" vertical="center" wrapText="1"/>
    </xf>
    <xf numFmtId="1" fontId="80" fillId="0" borderId="7" xfId="0" applyNumberFormat="1" applyFont="1" applyBorder="1" applyAlignment="1">
      <alignment horizontal="center" vertical="center" wrapText="1"/>
    </xf>
    <xf numFmtId="0" fontId="79" fillId="0" borderId="7" xfId="0" applyFont="1" applyBorder="1" applyAlignment="1">
      <alignment horizontal="center" vertical="center"/>
    </xf>
    <xf numFmtId="176" fontId="80" fillId="0" borderId="7" xfId="0" applyNumberFormat="1" applyFont="1" applyBorder="1" applyAlignment="1">
      <alignment horizontal="center" vertical="center" wrapText="1"/>
    </xf>
    <xf numFmtId="175" fontId="80" fillId="0" borderId="7" xfId="0" applyNumberFormat="1" applyFont="1" applyBorder="1" applyAlignment="1">
      <alignment horizontal="center" vertical="center" wrapText="1"/>
    </xf>
    <xf numFmtId="3" fontId="80" fillId="0" borderId="17" xfId="0" applyNumberFormat="1" applyFont="1" applyBorder="1" applyAlignment="1">
      <alignment horizontal="center" vertical="center" wrapText="1"/>
    </xf>
    <xf numFmtId="0" fontId="58" fillId="0" borderId="64" xfId="0" applyFont="1" applyBorder="1" applyAlignment="1">
      <alignment horizontal="left" vertical="center" wrapText="1"/>
    </xf>
    <xf numFmtId="166" fontId="80" fillId="0" borderId="38" xfId="0" applyNumberFormat="1" applyFont="1" applyBorder="1" applyAlignment="1">
      <alignment horizontal="center" vertical="center" wrapText="1"/>
    </xf>
    <xf numFmtId="4" fontId="111" fillId="29" borderId="0" xfId="0" applyNumberFormat="1" applyFont="1" applyFill="1" applyAlignment="1">
      <alignment horizontal="center" vertical="center" wrapText="1"/>
    </xf>
    <xf numFmtId="0" fontId="0" fillId="28" borderId="0" xfId="0" applyFill="1"/>
    <xf numFmtId="0" fontId="89" fillId="0" borderId="5" xfId="0" applyFont="1" applyBorder="1" applyAlignment="1">
      <alignment horizontal="center" vertical="center" wrapText="1"/>
      <extLst>
        <ext xmlns:xfpb="http://schemas.microsoft.com/office/spreadsheetml/2022/featurepropertybag" uri="{C7286773-470A-42A8-94C5-96B5CB345126}">
          <xfpb:xfComplement i="0"/>
        </ext>
      </extLst>
    </xf>
    <xf numFmtId="0" fontId="152" fillId="0" borderId="82" xfId="0" applyFont="1" applyBorder="1" applyAlignment="1">
      <alignment horizontal="left" vertical="center"/>
    </xf>
    <xf numFmtId="0" fontId="152" fillId="0" borderId="83" xfId="0" applyFont="1" applyBorder="1" applyAlignment="1">
      <alignment horizontal="left" vertical="center"/>
    </xf>
    <xf numFmtId="0" fontId="178" fillId="0" borderId="111" xfId="0" applyFont="1" applyBorder="1" applyAlignment="1">
      <alignment vertical="top" wrapText="1"/>
    </xf>
    <xf numFmtId="0" fontId="178" fillId="0" borderId="112" xfId="0" applyFont="1" applyBorder="1" applyAlignment="1">
      <alignment vertical="top" wrapText="1"/>
    </xf>
    <xf numFmtId="0" fontId="178" fillId="0" borderId="113" xfId="0" applyFont="1" applyBorder="1" applyAlignment="1">
      <alignment vertical="top" wrapText="1"/>
    </xf>
    <xf numFmtId="0" fontId="15" fillId="28" borderId="0" xfId="0" applyFont="1" applyFill="1"/>
    <xf numFmtId="0" fontId="49" fillId="28" borderId="0" xfId="0" applyFont="1" applyFill="1" applyAlignment="1">
      <alignment vertical="center"/>
    </xf>
    <xf numFmtId="0" fontId="45" fillId="28" borderId="0" xfId="0" applyFont="1" applyFill="1" applyAlignment="1">
      <alignment vertical="center"/>
    </xf>
    <xf numFmtId="0" fontId="15" fillId="0" borderId="0" xfId="0" applyFont="1"/>
    <xf numFmtId="0" fontId="107" fillId="0" borderId="0" xfId="0" applyFont="1" applyAlignment="1">
      <alignment horizontal="center" vertical="center" wrapText="1"/>
    </xf>
    <xf numFmtId="175" fontId="95" fillId="0" borderId="0" xfId="0" applyNumberFormat="1" applyFont="1" applyAlignment="1">
      <alignment horizontal="center" vertical="center"/>
    </xf>
    <xf numFmtId="4" fontId="18" fillId="31" borderId="0" xfId="0" applyNumberFormat="1" applyFont="1" applyFill="1" applyAlignment="1">
      <alignment horizontal="center" vertical="center" wrapText="1"/>
    </xf>
    <xf numFmtId="4" fontId="118" fillId="0" borderId="0" xfId="0" applyNumberFormat="1" applyFont="1" applyAlignment="1">
      <alignment horizontal="center" vertical="center" wrapText="1"/>
    </xf>
    <xf numFmtId="4" fontId="53" fillId="0" borderId="0" xfId="0" applyNumberFormat="1" applyFont="1" applyAlignment="1">
      <alignment horizontal="center" vertical="center" wrapText="1"/>
    </xf>
    <xf numFmtId="166" fontId="89" fillId="0" borderId="0" xfId="0" applyNumberFormat="1" applyFont="1" applyAlignment="1">
      <alignment horizontal="center" vertical="center" wrapText="1"/>
    </xf>
    <xf numFmtId="166" fontId="53" fillId="0" borderId="0" xfId="0" applyNumberFormat="1" applyFont="1" applyAlignment="1">
      <alignment horizontal="center" vertical="center" wrapText="1"/>
    </xf>
    <xf numFmtId="178" fontId="89" fillId="0" borderId="0" xfId="0" applyNumberFormat="1" applyFont="1" applyAlignment="1">
      <alignment horizontal="center" vertical="center" wrapText="1"/>
    </xf>
    <xf numFmtId="11" fontId="39" fillId="0" borderId="0" xfId="0" applyNumberFormat="1" applyFont="1" applyAlignment="1">
      <alignment horizontal="center" vertical="center" wrapText="1"/>
    </xf>
    <xf numFmtId="2" fontId="39" fillId="0" borderId="0" xfId="0" applyNumberFormat="1" applyFont="1" applyAlignment="1">
      <alignment horizontal="center" vertical="center" wrapText="1"/>
    </xf>
    <xf numFmtId="0" fontId="52" fillId="10" borderId="110" xfId="6" applyFont="1" applyFill="1" applyBorder="1" applyAlignment="1">
      <alignment horizontal="right" vertical="center" indent="1"/>
    </xf>
    <xf numFmtId="0" fontId="178" fillId="10" borderId="110" xfId="6" applyFont="1" applyFill="1" applyBorder="1" applyAlignment="1">
      <alignment horizontal="right" vertical="top" indent="1"/>
    </xf>
    <xf numFmtId="0" fontId="178" fillId="0" borderId="0" xfId="0" applyFont="1" applyAlignment="1">
      <alignment horizontal="right" vertical="top" wrapText="1"/>
    </xf>
    <xf numFmtId="0" fontId="162" fillId="16" borderId="88" xfId="6" applyFont="1" applyFill="1" applyBorder="1" applyAlignment="1">
      <alignment horizontal="right" vertical="center"/>
    </xf>
    <xf numFmtId="0" fontId="163" fillId="16" borderId="89" xfId="6" applyFont="1" applyFill="1" applyBorder="1" applyAlignment="1">
      <alignment horizontal="center" vertical="center" wrapText="1"/>
    </xf>
    <xf numFmtId="0" fontId="162" fillId="16" borderId="89" xfId="6" applyFont="1" applyFill="1" applyBorder="1" applyAlignment="1">
      <alignment horizontal="right" vertical="center"/>
    </xf>
    <xf numFmtId="0" fontId="161" fillId="16" borderId="89" xfId="6" applyFont="1" applyFill="1" applyBorder="1"/>
    <xf numFmtId="0" fontId="160" fillId="16" borderId="90" xfId="6" applyFont="1" applyFill="1" applyBorder="1"/>
    <xf numFmtId="0" fontId="164" fillId="16" borderId="91" xfId="20" applyFont="1" applyFill="1" applyBorder="1" applyAlignment="1" applyProtection="1">
      <alignment vertical="center"/>
    </xf>
    <xf numFmtId="0" fontId="165" fillId="16" borderId="0" xfId="6" applyFont="1" applyFill="1" applyAlignment="1">
      <alignment vertical="center"/>
    </xf>
    <xf numFmtId="0" fontId="161" fillId="16" borderId="0" xfId="6" applyFont="1" applyFill="1" applyAlignment="1">
      <alignment vertical="center"/>
    </xf>
    <xf numFmtId="0" fontId="160" fillId="16" borderId="92" xfId="6" applyFont="1" applyFill="1" applyBorder="1" applyAlignment="1">
      <alignment vertical="center"/>
    </xf>
    <xf numFmtId="0" fontId="16" fillId="16" borderId="0" xfId="2" applyFill="1" applyBorder="1" applyAlignment="1" applyProtection="1">
      <alignment horizontal="left" vertical="center" wrapText="1"/>
    </xf>
    <xf numFmtId="0" fontId="166" fillId="16" borderId="0" xfId="20" applyFont="1" applyFill="1" applyBorder="1" applyAlignment="1" applyProtection="1">
      <alignment vertical="center"/>
    </xf>
    <xf numFmtId="0" fontId="160" fillId="16" borderId="93" xfId="6" applyFont="1" applyFill="1" applyBorder="1" applyAlignment="1">
      <alignment horizontal="center"/>
    </xf>
    <xf numFmtId="0" fontId="167" fillId="16" borderId="94" xfId="20" applyFont="1" applyFill="1" applyBorder="1" applyAlignment="1" applyProtection="1">
      <alignment horizontal="center" vertical="center"/>
    </xf>
    <xf numFmtId="0" fontId="167" fillId="16" borderId="94" xfId="6" applyFont="1" applyFill="1" applyBorder="1" applyAlignment="1">
      <alignment horizontal="center" vertical="center"/>
    </xf>
    <xf numFmtId="0" fontId="167" fillId="16" borderId="94" xfId="20" applyFont="1" applyFill="1" applyBorder="1" applyAlignment="1" applyProtection="1">
      <alignment horizontal="left" vertical="center" indent="10"/>
    </xf>
    <xf numFmtId="0" fontId="161" fillId="16" borderId="94" xfId="6" applyFont="1" applyFill="1" applyBorder="1" applyAlignment="1">
      <alignment horizontal="center"/>
    </xf>
    <xf numFmtId="0" fontId="160" fillId="16" borderId="95" xfId="6" applyFont="1" applyFill="1" applyBorder="1" applyAlignment="1">
      <alignment horizontal="center"/>
    </xf>
    <xf numFmtId="0" fontId="178" fillId="10" borderId="0" xfId="6" applyFont="1" applyFill="1" applyAlignment="1">
      <alignment horizontal="right" vertical="center" indent="1"/>
    </xf>
    <xf numFmtId="0" fontId="53" fillId="10" borderId="0" xfId="6" applyFont="1" applyFill="1" applyAlignment="1">
      <alignment horizontal="left" vertical="center"/>
    </xf>
    <xf numFmtId="0" fontId="171" fillId="0" borderId="0" xfId="0" applyFont="1" applyAlignment="1">
      <alignment horizontal="left" vertical="center" wrapText="1"/>
    </xf>
    <xf numFmtId="167" fontId="53" fillId="0" borderId="0" xfId="0" applyNumberFormat="1" applyFont="1" applyAlignment="1">
      <alignment horizontal="center" vertical="center" wrapText="1"/>
    </xf>
    <xf numFmtId="167" fontId="0" fillId="0" borderId="0" xfId="0" applyNumberFormat="1" applyAlignment="1">
      <alignment horizontal="center" vertical="center"/>
    </xf>
    <xf numFmtId="167" fontId="46" fillId="0" borderId="0" xfId="0" applyNumberFormat="1" applyFont="1" applyAlignment="1">
      <alignment horizontal="center" vertical="center" wrapText="1"/>
    </xf>
    <xf numFmtId="0" fontId="199" fillId="4" borderId="0" xfId="2" applyFont="1" applyFill="1" applyAlignment="1">
      <alignment horizontal="center" vertical="center" wrapText="1"/>
    </xf>
    <xf numFmtId="0" fontId="170" fillId="0" borderId="0" xfId="0" applyFont="1" applyAlignment="1">
      <alignment horizontal="left" vertical="center"/>
    </xf>
    <xf numFmtId="0" fontId="178" fillId="0" borderId="112" xfId="0" applyFont="1" applyBorder="1" applyAlignment="1">
      <alignment horizontal="right" vertical="top" wrapText="1"/>
    </xf>
    <xf numFmtId="0" fontId="178" fillId="0" borderId="113" xfId="0" applyFont="1" applyBorder="1" applyAlignment="1">
      <alignment horizontal="right" vertical="top" wrapText="1"/>
    </xf>
    <xf numFmtId="0" fontId="171" fillId="45" borderId="133" xfId="0" applyFont="1" applyFill="1" applyBorder="1" applyAlignment="1">
      <alignment vertical="center" wrapText="1"/>
    </xf>
    <xf numFmtId="0" fontId="171" fillId="45" borderId="118" xfId="0" applyFont="1" applyFill="1" applyBorder="1" applyAlignment="1">
      <alignment vertical="center" wrapText="1"/>
    </xf>
    <xf numFmtId="0" fontId="178" fillId="0" borderId="0" xfId="0" applyFont="1" applyAlignment="1">
      <alignment horizontal="center" vertical="top" wrapText="1"/>
    </xf>
    <xf numFmtId="0" fontId="49" fillId="0" borderId="148" xfId="0" applyFont="1" applyBorder="1" applyAlignment="1">
      <alignment horizontal="left" vertical="center"/>
    </xf>
    <xf numFmtId="0" fontId="44" fillId="0" borderId="149" xfId="0" applyFont="1" applyBorder="1" applyAlignment="1">
      <alignment vertical="center"/>
    </xf>
    <xf numFmtId="0" fontId="0" fillId="0" borderId="148" xfId="0" applyBorder="1"/>
    <xf numFmtId="0" fontId="0" fillId="0" borderId="149" xfId="0" applyBorder="1"/>
    <xf numFmtId="0" fontId="41" fillId="0" borderId="149" xfId="0" applyFont="1" applyBorder="1" applyAlignment="1">
      <alignment horizontal="left" vertical="center"/>
    </xf>
    <xf numFmtId="0" fontId="39" fillId="0" borderId="149" xfId="0" applyFont="1" applyBorder="1" applyAlignment="1">
      <alignment vertical="center"/>
    </xf>
    <xf numFmtId="0" fontId="0" fillId="0" borderId="150" xfId="0" applyBorder="1"/>
    <xf numFmtId="0" fontId="39" fillId="0" borderId="151" xfId="0" applyFont="1" applyBorder="1" applyAlignment="1">
      <alignment horizontal="left" vertical="center" wrapText="1"/>
    </xf>
    <xf numFmtId="0" fontId="39" fillId="0" borderId="151" xfId="0" applyFont="1" applyBorder="1" applyAlignment="1">
      <alignment horizontal="center" vertical="center"/>
    </xf>
    <xf numFmtId="0" fontId="48" fillId="0" borderId="151" xfId="0" applyFont="1" applyBorder="1" applyAlignment="1">
      <alignment horizontal="center" vertical="center"/>
    </xf>
    <xf numFmtId="0" fontId="39" fillId="0" borderId="151" xfId="0" applyFont="1" applyBorder="1" applyAlignment="1">
      <alignment vertical="center"/>
    </xf>
    <xf numFmtId="0" fontId="39" fillId="0" borderId="152" xfId="0" applyFont="1" applyBorder="1" applyAlignment="1">
      <alignment vertical="center"/>
    </xf>
    <xf numFmtId="0" fontId="46" fillId="0" borderId="85" xfId="0" applyFont="1" applyBorder="1" applyAlignment="1">
      <alignment horizontal="center" vertical="center"/>
    </xf>
    <xf numFmtId="0" fontId="83" fillId="0" borderId="0" xfId="0" applyFont="1"/>
    <xf numFmtId="0" fontId="178" fillId="0" borderId="154" xfId="0" applyFont="1" applyBorder="1" applyAlignment="1">
      <alignment horizontal="right" vertical="top" wrapText="1"/>
    </xf>
    <xf numFmtId="0" fontId="142" fillId="0" borderId="156" xfId="0" applyFont="1" applyBorder="1" applyAlignment="1">
      <alignment horizontal="right" vertical="top" wrapText="1"/>
    </xf>
    <xf numFmtId="0" fontId="55" fillId="0" borderId="0" xfId="0" applyFont="1" applyAlignment="1">
      <alignment vertical="center" wrapText="1"/>
    </xf>
    <xf numFmtId="0" fontId="178" fillId="0" borderId="162" xfId="0" applyFont="1" applyBorder="1" applyAlignment="1">
      <alignment vertical="top" wrapText="1"/>
    </xf>
    <xf numFmtId="0" fontId="204" fillId="0" borderId="0" xfId="0" applyFont="1" applyAlignment="1">
      <alignment horizontal="left" vertical="center"/>
    </xf>
    <xf numFmtId="0" fontId="142" fillId="0" borderId="168" xfId="0" applyFont="1" applyBorder="1" applyAlignment="1">
      <alignment horizontal="right" vertical="top" wrapText="1"/>
    </xf>
    <xf numFmtId="0" fontId="53" fillId="41" borderId="5" xfId="0" applyFont="1" applyFill="1" applyBorder="1" applyAlignment="1">
      <alignment horizontal="left" vertical="center" wrapText="1"/>
    </xf>
    <xf numFmtId="0" fontId="44" fillId="47" borderId="146" xfId="0" applyFont="1" applyFill="1" applyBorder="1" applyAlignment="1">
      <alignment vertical="center"/>
    </xf>
    <xf numFmtId="0" fontId="152" fillId="28" borderId="170" xfId="0" applyFont="1" applyFill="1" applyBorder="1" applyAlignment="1">
      <alignment vertical="center"/>
    </xf>
    <xf numFmtId="0" fontId="39" fillId="28" borderId="171" xfId="0" applyFont="1" applyFill="1" applyBorder="1"/>
    <xf numFmtId="0" fontId="44" fillId="47" borderId="147" xfId="0" applyFont="1" applyFill="1" applyBorder="1" applyAlignment="1">
      <alignment vertical="center"/>
    </xf>
    <xf numFmtId="0" fontId="89" fillId="0" borderId="175" xfId="0" applyFont="1" applyBorder="1" applyAlignment="1">
      <alignment horizontal="left" vertical="center" wrapText="1"/>
    </xf>
    <xf numFmtId="0" fontId="60" fillId="28" borderId="173" xfId="0" applyFont="1" applyFill="1" applyBorder="1" applyAlignment="1">
      <alignment horizontal="left" vertical="center"/>
    </xf>
    <xf numFmtId="0" fontId="41" fillId="28" borderId="181" xfId="0" applyFont="1" applyFill="1" applyBorder="1" applyAlignment="1">
      <alignment horizontal="center" vertical="center"/>
    </xf>
    <xf numFmtId="0" fontId="89" fillId="0" borderId="180" xfId="0" applyFont="1" applyBorder="1" applyAlignment="1">
      <alignment horizontal="left" vertical="center" wrapText="1"/>
    </xf>
    <xf numFmtId="0" fontId="79" fillId="28" borderId="20" xfId="0" applyFont="1" applyFill="1" applyBorder="1" applyAlignment="1">
      <alignment horizontal="center" vertical="center" wrapText="1"/>
    </xf>
    <xf numFmtId="0" fontId="80" fillId="28" borderId="20" xfId="0" applyFont="1" applyFill="1" applyBorder="1" applyAlignment="1">
      <alignment horizontal="center" vertical="center" wrapText="1"/>
    </xf>
    <xf numFmtId="176" fontId="80" fillId="28" borderId="20" xfId="0" applyNumberFormat="1" applyFont="1" applyFill="1" applyBorder="1" applyAlignment="1">
      <alignment horizontal="center" vertical="center" wrapText="1"/>
    </xf>
    <xf numFmtId="2" fontId="80" fillId="28" borderId="20" xfId="0" applyNumberFormat="1" applyFont="1" applyFill="1" applyBorder="1" applyAlignment="1">
      <alignment horizontal="center" vertical="center" wrapText="1"/>
    </xf>
    <xf numFmtId="1" fontId="80" fillId="28" borderId="20" xfId="0" applyNumberFormat="1" applyFont="1" applyFill="1" applyBorder="1" applyAlignment="1">
      <alignment horizontal="center" vertical="center" wrapText="1"/>
    </xf>
    <xf numFmtId="11" fontId="80" fillId="28" borderId="20" xfId="0" applyNumberFormat="1" applyFont="1" applyFill="1" applyBorder="1" applyAlignment="1">
      <alignment horizontal="center" vertical="center" wrapText="1"/>
    </xf>
    <xf numFmtId="11" fontId="80" fillId="28" borderId="17" xfId="0" applyNumberFormat="1" applyFont="1" applyFill="1" applyBorder="1" applyAlignment="1">
      <alignment horizontal="center" vertical="center" wrapText="1"/>
    </xf>
    <xf numFmtId="2" fontId="31" fillId="31" borderId="0" xfId="0" applyNumberFormat="1" applyFont="1" applyFill="1" applyAlignment="1">
      <alignment horizontal="center" vertical="center"/>
    </xf>
    <xf numFmtId="11" fontId="23" fillId="0" borderId="0" xfId="0" applyNumberFormat="1" applyFont="1" applyAlignment="1">
      <alignment horizontal="center" vertical="center" wrapText="1"/>
    </xf>
    <xf numFmtId="172" fontId="18" fillId="0" borderId="0" xfId="0" applyNumberFormat="1" applyFont="1" applyAlignment="1">
      <alignment horizontal="center" vertical="center" wrapText="1"/>
    </xf>
    <xf numFmtId="179" fontId="18" fillId="0" borderId="0" xfId="0" applyNumberFormat="1" applyFont="1" applyAlignment="1">
      <alignment horizontal="center" vertical="center" wrapText="1"/>
    </xf>
    <xf numFmtId="0" fontId="153" fillId="0" borderId="0" xfId="0" applyFont="1"/>
    <xf numFmtId="2" fontId="89" fillId="0" borderId="0" xfId="0" applyNumberFormat="1" applyFont="1" applyAlignment="1">
      <alignment horizontal="center" vertical="center" wrapText="1"/>
    </xf>
    <xf numFmtId="1" fontId="89" fillId="0" borderId="0" xfId="0" applyNumberFormat="1" applyFont="1" applyAlignment="1">
      <alignment horizontal="center" vertical="center" wrapText="1"/>
    </xf>
    <xf numFmtId="172" fontId="89" fillId="0" borderId="0" xfId="0" applyNumberFormat="1" applyFont="1" applyAlignment="1">
      <alignment horizontal="center" vertical="center" wrapText="1"/>
    </xf>
    <xf numFmtId="179" fontId="89" fillId="0" borderId="0" xfId="0" applyNumberFormat="1" applyFont="1" applyAlignment="1">
      <alignment horizontal="center" vertical="center" wrapText="1"/>
    </xf>
    <xf numFmtId="2" fontId="53" fillId="0" borderId="0" xfId="0" applyNumberFormat="1" applyFont="1" applyAlignment="1">
      <alignment horizontal="center" vertical="center" wrapText="1"/>
    </xf>
    <xf numFmtId="179" fontId="53" fillId="0" borderId="0" xfId="0" applyNumberFormat="1" applyFont="1" applyAlignment="1">
      <alignment horizontal="center" vertical="center" wrapText="1"/>
    </xf>
    <xf numFmtId="0" fontId="0" fillId="0" borderId="42" xfId="0" applyBorder="1" applyAlignment="1">
      <alignment wrapText="1"/>
    </xf>
    <xf numFmtId="0" fontId="39" fillId="0" borderId="0" xfId="0" applyFont="1" applyAlignment="1">
      <alignment wrapText="1"/>
    </xf>
    <xf numFmtId="0" fontId="80" fillId="28" borderId="17" xfId="0" applyFont="1" applyFill="1" applyBorder="1" applyAlignment="1">
      <alignment horizontal="center" vertical="center" wrapText="1"/>
    </xf>
    <xf numFmtId="0" fontId="80" fillId="28" borderId="35" xfId="0" applyFont="1" applyFill="1" applyBorder="1" applyAlignment="1">
      <alignment horizontal="center" vertical="center" wrapText="1"/>
    </xf>
    <xf numFmtId="0" fontId="86" fillId="0" borderId="0" xfId="0" applyFont="1" applyAlignment="1">
      <alignment horizontal="center" vertical="center" wrapText="1"/>
    </xf>
    <xf numFmtId="2" fontId="111" fillId="28" borderId="0" xfId="0" applyNumberFormat="1" applyFont="1" applyFill="1" applyAlignment="1">
      <alignment horizontal="center" vertical="center" wrapText="1"/>
    </xf>
    <xf numFmtId="0" fontId="51" fillId="0" borderId="182" xfId="0" applyFont="1" applyBorder="1"/>
    <xf numFmtId="0" fontId="51" fillId="0" borderId="183" xfId="0" applyFont="1" applyBorder="1"/>
    <xf numFmtId="0" fontId="139" fillId="0" borderId="0" xfId="0" applyFont="1" applyAlignment="1">
      <alignment vertical="center" wrapText="1"/>
    </xf>
    <xf numFmtId="0" fontId="209" fillId="0" borderId="0" xfId="0" applyFont="1"/>
    <xf numFmtId="0" fontId="209" fillId="0" borderId="7" xfId="0" applyFont="1" applyBorder="1"/>
    <xf numFmtId="0" fontId="46" fillId="0" borderId="7" xfId="0" applyFont="1" applyBorder="1"/>
    <xf numFmtId="0" fontId="211" fillId="0" borderId="7" xfId="0" applyFont="1" applyBorder="1" applyAlignment="1">
      <alignment vertical="top"/>
    </xf>
    <xf numFmtId="1" fontId="212" fillId="0" borderId="7" xfId="0" applyNumberFormat="1" applyFont="1" applyBorder="1" applyAlignment="1">
      <alignment horizontal="right" vertical="top"/>
    </xf>
    <xf numFmtId="49" fontId="212" fillId="0" borderId="7" xfId="0" applyNumberFormat="1" applyFont="1" applyBorder="1" applyAlignment="1">
      <alignment horizontal="left" vertical="top"/>
    </xf>
    <xf numFmtId="0" fontId="212" fillId="0" borderId="7" xfId="0" applyFont="1" applyBorder="1" applyAlignment="1">
      <alignment horizontal="right" vertical="top"/>
    </xf>
    <xf numFmtId="10" fontId="209" fillId="0" borderId="7" xfId="0" applyNumberFormat="1" applyFont="1" applyBorder="1"/>
    <xf numFmtId="0" fontId="46" fillId="0" borderId="0" xfId="0" applyFont="1" applyAlignment="1">
      <alignment wrapText="1"/>
    </xf>
    <xf numFmtId="0" fontId="208" fillId="0" borderId="7" xfId="0" applyFont="1" applyBorder="1" applyAlignment="1">
      <alignment vertical="top" wrapText="1"/>
    </xf>
    <xf numFmtId="0" fontId="212" fillId="0" borderId="0" xfId="0" applyFont="1" applyAlignment="1">
      <alignment vertical="top" wrapText="1"/>
    </xf>
    <xf numFmtId="0" fontId="209" fillId="0" borderId="0" xfId="0" applyFont="1" applyAlignment="1">
      <alignment wrapText="1"/>
    </xf>
    <xf numFmtId="0" fontId="51" fillId="0" borderId="0" xfId="0" applyFont="1" applyAlignment="1">
      <alignment wrapText="1"/>
    </xf>
    <xf numFmtId="0" fontId="107" fillId="28" borderId="7" xfId="0" applyFont="1" applyFill="1" applyBorder="1" applyAlignment="1">
      <alignment vertical="center" wrapText="1"/>
    </xf>
    <xf numFmtId="0" fontId="107" fillId="28" borderId="4" xfId="0" applyFont="1" applyFill="1" applyBorder="1" applyAlignment="1">
      <alignment horizontal="center" vertical="center" wrapText="1"/>
    </xf>
    <xf numFmtId="0" fontId="107" fillId="0" borderId="43" xfId="0" applyFont="1" applyBorder="1" applyAlignment="1">
      <alignment vertical="center" wrapText="1"/>
    </xf>
    <xf numFmtId="0" fontId="107" fillId="0" borderId="0" xfId="0" applyFont="1" applyAlignment="1">
      <alignment vertical="center" wrapText="1"/>
    </xf>
    <xf numFmtId="2" fontId="156" fillId="0" borderId="0" xfId="0" applyNumberFormat="1" applyFont="1" applyAlignment="1">
      <alignment horizontal="center" vertical="center" wrapText="1"/>
    </xf>
    <xf numFmtId="0" fontId="105" fillId="0" borderId="0" xfId="0" applyFont="1" applyAlignment="1">
      <alignment horizontal="center" vertical="center" wrapText="1"/>
    </xf>
    <xf numFmtId="0" fontId="87" fillId="0" borderId="0" xfId="0" applyFont="1" applyAlignment="1">
      <alignment horizontal="center" vertical="center" wrapText="1"/>
    </xf>
    <xf numFmtId="0" fontId="176" fillId="0" borderId="0" xfId="2" applyFont="1" applyBorder="1" applyAlignment="1">
      <alignment horizontal="center" vertical="center" wrapText="1"/>
    </xf>
    <xf numFmtId="2" fontId="111" fillId="29" borderId="7" xfId="0" applyNumberFormat="1" applyFont="1" applyFill="1" applyBorder="1" applyAlignment="1">
      <alignment horizontal="center" vertical="center" wrapText="1"/>
    </xf>
    <xf numFmtId="166" fontId="111" fillId="29" borderId="7" xfId="0" applyNumberFormat="1" applyFont="1" applyFill="1" applyBorder="1" applyAlignment="1">
      <alignment horizontal="center" vertical="center" wrapText="1"/>
    </xf>
    <xf numFmtId="0" fontId="81" fillId="0" borderId="7" xfId="0" applyFont="1" applyBorder="1" applyAlignment="1">
      <alignment horizontal="left" vertical="center" wrapText="1"/>
    </xf>
    <xf numFmtId="0" fontId="81" fillId="0" borderId="7" xfId="0" applyFont="1" applyBorder="1" applyAlignment="1">
      <alignment horizontal="center" vertical="center" wrapText="1"/>
    </xf>
    <xf numFmtId="0" fontId="81" fillId="28" borderId="7" xfId="0" applyFont="1" applyFill="1" applyBorder="1" applyAlignment="1">
      <alignment horizontal="left" vertical="center" wrapText="1"/>
    </xf>
    <xf numFmtId="2" fontId="79" fillId="28" borderId="7" xfId="0" applyNumberFormat="1" applyFont="1" applyFill="1" applyBorder="1" applyAlignment="1">
      <alignment horizontal="center" vertical="center" wrapText="1"/>
    </xf>
    <xf numFmtId="0" fontId="23" fillId="0" borderId="28" xfId="0" applyFont="1" applyBorder="1" applyAlignment="1">
      <alignment horizontal="center" vertical="center" wrapText="1"/>
    </xf>
    <xf numFmtId="0" fontId="85" fillId="28" borderId="29" xfId="0" applyFont="1" applyFill="1" applyBorder="1" applyAlignment="1">
      <alignment horizontal="center" vertical="center" wrapText="1"/>
    </xf>
    <xf numFmtId="2" fontId="23" fillId="0" borderId="28" xfId="0" applyNumberFormat="1" applyFont="1" applyBorder="1" applyAlignment="1">
      <alignment horizontal="center" vertical="center" wrapText="1"/>
    </xf>
    <xf numFmtId="0" fontId="79" fillId="15" borderId="7" xfId="0" applyFont="1" applyFill="1" applyBorder="1" applyAlignment="1">
      <alignment horizontal="center" vertical="center" wrapText="1"/>
    </xf>
    <xf numFmtId="0" fontId="23" fillId="14" borderId="7" xfId="0" applyFont="1" applyFill="1" applyBorder="1" applyAlignment="1">
      <alignment horizontal="center" vertical="center" wrapText="1"/>
    </xf>
    <xf numFmtId="0" fontId="85" fillId="28" borderId="7" xfId="0" applyFont="1" applyFill="1" applyBorder="1" applyAlignment="1">
      <alignment horizontal="center" vertical="center" wrapText="1"/>
    </xf>
    <xf numFmtId="2" fontId="23" fillId="0" borderId="7" xfId="0" applyNumberFormat="1" applyFont="1" applyBorder="1" applyAlignment="1">
      <alignment horizontal="center" vertical="center" wrapText="1"/>
    </xf>
    <xf numFmtId="0" fontId="23" fillId="14" borderId="0" xfId="0" applyFont="1" applyFill="1" applyAlignment="1">
      <alignment horizontal="center" vertical="center" wrapText="1"/>
    </xf>
    <xf numFmtId="0" fontId="85" fillId="28" borderId="0" xfId="0" applyFont="1" applyFill="1" applyAlignment="1">
      <alignment horizontal="center" vertical="center" wrapText="1"/>
    </xf>
    <xf numFmtId="0" fontId="24" fillId="17" borderId="0" xfId="0" applyFont="1" applyFill="1"/>
    <xf numFmtId="0" fontId="23" fillId="17" borderId="0" xfId="0" applyFont="1" applyFill="1"/>
    <xf numFmtId="0" fontId="23" fillId="17" borderId="0" xfId="0" applyFont="1" applyFill="1" applyAlignment="1">
      <alignment horizontal="center" vertical="center"/>
    </xf>
    <xf numFmtId="166" fontId="96" fillId="17" borderId="0" xfId="0" applyNumberFormat="1" applyFont="1" applyFill="1" applyAlignment="1">
      <alignment horizontal="center" vertical="center"/>
    </xf>
    <xf numFmtId="0" fontId="12" fillId="17" borderId="0" xfId="0" applyFont="1" applyFill="1" applyAlignment="1">
      <alignment horizontal="center" vertical="center"/>
    </xf>
    <xf numFmtId="166" fontId="23" fillId="17" borderId="0" xfId="0" applyNumberFormat="1" applyFont="1" applyFill="1" applyAlignment="1">
      <alignment horizontal="center" vertical="center"/>
    </xf>
    <xf numFmtId="0" fontId="12" fillId="25" borderId="0" xfId="0" applyFont="1" applyFill="1"/>
    <xf numFmtId="0" fontId="84" fillId="31" borderId="0" xfId="0" applyFont="1" applyFill="1" applyAlignment="1">
      <alignment horizontal="left" vertical="center" wrapText="1"/>
    </xf>
    <xf numFmtId="175" fontId="96" fillId="5" borderId="0" xfId="0" applyNumberFormat="1" applyFont="1" applyFill="1" applyAlignment="1">
      <alignment horizontal="center"/>
    </xf>
    <xf numFmtId="0" fontId="52" fillId="48" borderId="5" xfId="0" applyFont="1" applyFill="1" applyBorder="1" applyAlignment="1">
      <alignment horizontal="left" vertical="center" wrapText="1"/>
    </xf>
    <xf numFmtId="0" fontId="53" fillId="48" borderId="6" xfId="0" applyFont="1" applyFill="1" applyBorder="1" applyAlignment="1">
      <alignment horizontal="center" vertical="center"/>
    </xf>
    <xf numFmtId="167" fontId="53" fillId="48" borderId="7" xfId="0" applyNumberFormat="1" applyFont="1" applyFill="1" applyBorder="1" applyAlignment="1">
      <alignment horizontal="center" vertical="center" wrapText="1"/>
    </xf>
    <xf numFmtId="167" fontId="53" fillId="48" borderId="4" xfId="0" applyNumberFormat="1" applyFont="1" applyFill="1" applyBorder="1" applyAlignment="1">
      <alignment horizontal="center" vertical="center" wrapText="1"/>
    </xf>
    <xf numFmtId="166" fontId="89" fillId="22" borderId="7" xfId="0" applyNumberFormat="1" applyFont="1" applyFill="1" applyBorder="1" applyAlignment="1">
      <alignment horizontal="center" vertical="center" wrapText="1"/>
    </xf>
    <xf numFmtId="166" fontId="89" fillId="22" borderId="4" xfId="0" applyNumberFormat="1" applyFont="1" applyFill="1" applyBorder="1" applyAlignment="1">
      <alignment horizontal="center" vertical="center" wrapText="1"/>
    </xf>
    <xf numFmtId="166" fontId="89" fillId="14" borderId="7" xfId="0" applyNumberFormat="1" applyFont="1" applyFill="1" applyBorder="1" applyAlignment="1">
      <alignment horizontal="center" vertical="center" wrapText="1"/>
    </xf>
    <xf numFmtId="166" fontId="89" fillId="14" borderId="4" xfId="0" applyNumberFormat="1" applyFont="1" applyFill="1" applyBorder="1" applyAlignment="1">
      <alignment horizontal="center" vertical="center" wrapText="1"/>
    </xf>
    <xf numFmtId="166" fontId="53" fillId="7" borderId="7" xfId="0" applyNumberFormat="1" applyFont="1" applyFill="1" applyBorder="1" applyAlignment="1">
      <alignment horizontal="center" vertical="center" wrapText="1"/>
    </xf>
    <xf numFmtId="166" fontId="53" fillId="7" borderId="4" xfId="0" applyNumberFormat="1" applyFont="1" applyFill="1" applyBorder="1" applyAlignment="1">
      <alignment horizontal="center" vertical="center" wrapText="1"/>
    </xf>
    <xf numFmtId="166" fontId="53" fillId="48" borderId="7" xfId="0" applyNumberFormat="1" applyFont="1" applyFill="1" applyBorder="1" applyAlignment="1">
      <alignment horizontal="center" vertical="center" wrapText="1"/>
    </xf>
    <xf numFmtId="166" fontId="53" fillId="48" borderId="4" xfId="0" applyNumberFormat="1" applyFont="1" applyFill="1" applyBorder="1" applyAlignment="1">
      <alignment horizontal="center" vertical="center" wrapText="1"/>
    </xf>
    <xf numFmtId="166" fontId="89" fillId="41" borderId="7" xfId="0" applyNumberFormat="1" applyFont="1" applyFill="1" applyBorder="1" applyAlignment="1">
      <alignment horizontal="center" vertical="center" wrapText="1"/>
    </xf>
    <xf numFmtId="167" fontId="89" fillId="21" borderId="4" xfId="0" applyNumberFormat="1" applyFont="1" applyFill="1" applyBorder="1" applyAlignment="1">
      <alignment horizontal="center" vertical="center" wrapText="1"/>
    </xf>
    <xf numFmtId="0" fontId="89" fillId="21" borderId="69" xfId="0" applyFont="1" applyFill="1" applyBorder="1" applyAlignment="1">
      <alignment horizontal="left" vertical="center" wrapText="1"/>
    </xf>
    <xf numFmtId="0" fontId="89" fillId="21" borderId="70" xfId="0" applyFont="1" applyFill="1" applyBorder="1" applyAlignment="1">
      <alignment horizontal="center" vertical="center" wrapText="1"/>
    </xf>
    <xf numFmtId="11" fontId="89" fillId="21" borderId="71" xfId="0" applyNumberFormat="1" applyFont="1" applyFill="1" applyBorder="1" applyAlignment="1">
      <alignment horizontal="center" vertical="center" wrapText="1"/>
    </xf>
    <xf numFmtId="11" fontId="89" fillId="21" borderId="72" xfId="0" applyNumberFormat="1" applyFont="1" applyFill="1" applyBorder="1" applyAlignment="1">
      <alignment horizontal="center" vertical="center" wrapText="1"/>
    </xf>
    <xf numFmtId="0" fontId="89" fillId="21" borderId="70" xfId="0" applyFont="1" applyFill="1" applyBorder="1" applyAlignment="1">
      <alignment horizontal="center" vertical="center"/>
    </xf>
    <xf numFmtId="170" fontId="89" fillId="21" borderId="71" xfId="0" applyNumberFormat="1" applyFont="1" applyFill="1" applyBorder="1" applyAlignment="1">
      <alignment horizontal="center" vertical="center" wrapText="1"/>
    </xf>
    <xf numFmtId="170" fontId="89" fillId="21" borderId="72" xfId="0" applyNumberFormat="1" applyFont="1" applyFill="1" applyBorder="1" applyAlignment="1">
      <alignment horizontal="center" vertical="center" wrapText="1"/>
    </xf>
    <xf numFmtId="0" fontId="199" fillId="0" borderId="0" xfId="2" applyFont="1" applyFill="1" applyAlignment="1">
      <alignment horizontal="center" vertical="center" wrapText="1"/>
    </xf>
    <xf numFmtId="0" fontId="53" fillId="0" borderId="0" xfId="0" applyFont="1" applyAlignment="1">
      <alignment horizontal="center" vertical="center"/>
    </xf>
    <xf numFmtId="3" fontId="53" fillId="0" borderId="0" xfId="0" applyNumberFormat="1" applyFont="1" applyAlignment="1">
      <alignment horizontal="center" vertical="center" wrapText="1"/>
    </xf>
    <xf numFmtId="11" fontId="89" fillId="0" borderId="0" xfId="0" applyNumberFormat="1" applyFont="1" applyAlignment="1">
      <alignment horizontal="center" vertical="center" wrapText="1"/>
    </xf>
    <xf numFmtId="167" fontId="89" fillId="21" borderId="71" xfId="0" applyNumberFormat="1" applyFont="1" applyFill="1" applyBorder="1" applyAlignment="1">
      <alignment horizontal="center" vertical="center" wrapText="1"/>
    </xf>
    <xf numFmtId="167" fontId="89" fillId="21" borderId="72" xfId="0" applyNumberFormat="1" applyFont="1" applyFill="1" applyBorder="1" applyAlignment="1">
      <alignment horizontal="center" vertical="center" wrapText="1"/>
    </xf>
    <xf numFmtId="0" fontId="176" fillId="10" borderId="110" xfId="2" applyFont="1" applyFill="1" applyBorder="1" applyAlignment="1">
      <alignment horizontal="center" vertical="top" wrapText="1"/>
    </xf>
    <xf numFmtId="0" fontId="107" fillId="28" borderId="66" xfId="0" applyFont="1" applyFill="1" applyBorder="1" applyAlignment="1">
      <alignment horizontal="left" vertical="center" wrapText="1"/>
    </xf>
    <xf numFmtId="0" fontId="89" fillId="49" borderId="5" xfId="0" applyFont="1" applyFill="1" applyBorder="1" applyAlignment="1">
      <alignment horizontal="left" vertical="center" wrapText="1"/>
    </xf>
    <xf numFmtId="0" fontId="89" fillId="49" borderId="6" xfId="0" applyFont="1" applyFill="1" applyBorder="1" applyAlignment="1">
      <alignment horizontal="center" vertical="center" wrapText="1"/>
    </xf>
    <xf numFmtId="0" fontId="124" fillId="28" borderId="5" xfId="0" applyFont="1" applyFill="1" applyBorder="1" applyAlignment="1">
      <alignment vertical="center" wrapText="1"/>
    </xf>
    <xf numFmtId="0" fontId="124" fillId="28" borderId="0" xfId="0" applyFont="1" applyFill="1" applyAlignment="1">
      <alignment horizontal="center" vertical="center" wrapText="1"/>
    </xf>
    <xf numFmtId="0" fontId="124" fillId="28" borderId="66" xfId="0" applyFont="1" applyFill="1" applyBorder="1" applyAlignment="1">
      <alignment horizontal="center" vertical="center" wrapText="1"/>
    </xf>
    <xf numFmtId="0" fontId="80" fillId="0" borderId="7" xfId="0" applyFont="1" applyBorder="1" applyAlignment="1">
      <alignment horizontal="left" vertical="center" wrapText="1"/>
    </xf>
    <xf numFmtId="11" fontId="80" fillId="0" borderId="7" xfId="0" applyNumberFormat="1" applyFont="1" applyBorder="1" applyAlignment="1">
      <alignment horizontal="center" vertical="center" wrapText="1"/>
    </xf>
    <xf numFmtId="172" fontId="80" fillId="0" borderId="7" xfId="0" applyNumberFormat="1" applyFont="1" applyBorder="1" applyAlignment="1">
      <alignment horizontal="center" vertical="center" wrapText="1"/>
    </xf>
    <xf numFmtId="0" fontId="79" fillId="0" borderId="7" xfId="0" applyFont="1" applyBorder="1" applyAlignment="1">
      <alignment horizontal="left" vertical="center" wrapText="1"/>
    </xf>
    <xf numFmtId="2" fontId="80" fillId="49" borderId="7" xfId="0" applyNumberFormat="1" applyFont="1" applyFill="1" applyBorder="1" applyAlignment="1">
      <alignment horizontal="center" vertical="center" wrapText="1"/>
    </xf>
    <xf numFmtId="1" fontId="80" fillId="49" borderId="7" xfId="0" applyNumberFormat="1" applyFont="1" applyFill="1" applyBorder="1" applyAlignment="1">
      <alignment horizontal="center" vertical="center" wrapText="1"/>
    </xf>
    <xf numFmtId="2" fontId="17" fillId="50" borderId="0" xfId="0" applyNumberFormat="1" applyFont="1" applyFill="1" applyAlignment="1">
      <alignment horizontal="center" vertical="center" wrapText="1"/>
    </xf>
    <xf numFmtId="2" fontId="17" fillId="50" borderId="0" xfId="0" applyNumberFormat="1" applyFont="1" applyFill="1" applyAlignment="1">
      <alignment horizontal="center" vertical="top" wrapText="1"/>
    </xf>
    <xf numFmtId="2" fontId="23" fillId="28" borderId="0" xfId="0" applyNumberFormat="1" applyFont="1" applyFill="1" applyAlignment="1">
      <alignment horizontal="center" vertical="center" wrapText="1"/>
    </xf>
    <xf numFmtId="2" fontId="12" fillId="28" borderId="0" xfId="0" applyNumberFormat="1" applyFont="1" applyFill="1" applyAlignment="1">
      <alignment horizontal="center" vertical="center"/>
    </xf>
    <xf numFmtId="2" fontId="84" fillId="31" borderId="0" xfId="0" applyNumberFormat="1" applyFont="1" applyFill="1" applyAlignment="1">
      <alignment horizontal="center" vertical="center" wrapText="1"/>
    </xf>
    <xf numFmtId="0" fontId="79" fillId="7" borderId="19" xfId="0" applyFont="1" applyFill="1" applyBorder="1" applyAlignment="1">
      <alignment horizontal="center" vertical="center" wrapText="1"/>
    </xf>
    <xf numFmtId="2" fontId="23" fillId="28" borderId="7" xfId="0" applyNumberFormat="1" applyFont="1" applyFill="1" applyBorder="1" applyAlignment="1">
      <alignment horizontal="center" vertical="center" wrapText="1"/>
    </xf>
    <xf numFmtId="3" fontId="95" fillId="0" borderId="0" xfId="0" applyNumberFormat="1" applyFont="1" applyAlignment="1">
      <alignment horizontal="center"/>
    </xf>
    <xf numFmtId="0" fontId="23" fillId="14" borderId="19" xfId="0" applyFont="1" applyFill="1" applyBorder="1" applyAlignment="1">
      <alignment horizontal="center" vertical="center" wrapText="1"/>
    </xf>
    <xf numFmtId="0" fontId="86" fillId="28" borderId="19" xfId="0" applyFont="1" applyFill="1" applyBorder="1" applyAlignment="1">
      <alignment horizontal="center" vertical="center" wrapText="1"/>
    </xf>
    <xf numFmtId="0" fontId="55" fillId="0" borderId="5" xfId="0" applyFont="1" applyBorder="1" applyAlignment="1">
      <alignment horizontal="left" vertical="center" wrapText="1"/>
    </xf>
    <xf numFmtId="0" fontId="80" fillId="7" borderId="19" xfId="0" applyFont="1" applyFill="1" applyBorder="1" applyAlignment="1">
      <alignment horizontal="center" vertical="center" wrapText="1"/>
    </xf>
    <xf numFmtId="0" fontId="23" fillId="28" borderId="7" xfId="0" applyFont="1" applyFill="1" applyBorder="1" applyAlignment="1">
      <alignment horizontal="center" vertical="center" wrapText="1"/>
    </xf>
    <xf numFmtId="2" fontId="12" fillId="28" borderId="7" xfId="0" applyNumberFormat="1" applyFont="1" applyFill="1" applyBorder="1" applyAlignment="1">
      <alignment horizontal="center" vertical="center"/>
    </xf>
    <xf numFmtId="0" fontId="93" fillId="28" borderId="18" xfId="0" applyFont="1" applyFill="1" applyBorder="1" applyAlignment="1">
      <alignment vertical="center" wrapText="1"/>
    </xf>
    <xf numFmtId="0" fontId="93" fillId="30" borderId="35" xfId="0" applyFont="1" applyFill="1" applyBorder="1" applyAlignment="1">
      <alignment vertical="center" wrapText="1"/>
    </xf>
    <xf numFmtId="0" fontId="23" fillId="22" borderId="35" xfId="0" applyFont="1" applyFill="1" applyBorder="1" applyAlignment="1">
      <alignment horizontal="left" vertical="center" wrapText="1"/>
    </xf>
    <xf numFmtId="0" fontId="79" fillId="7" borderId="35" xfId="0" applyFont="1" applyFill="1" applyBorder="1" applyAlignment="1">
      <alignment horizontal="center" vertical="center" wrapText="1"/>
    </xf>
    <xf numFmtId="0" fontId="79" fillId="28" borderId="12" xfId="0" applyFont="1" applyFill="1" applyBorder="1" applyAlignment="1">
      <alignment horizontal="center" vertical="center" wrapText="1"/>
    </xf>
    <xf numFmtId="0" fontId="23" fillId="28" borderId="0" xfId="0" applyFont="1" applyFill="1" applyAlignment="1">
      <alignment horizontal="left" vertical="center" wrapText="1"/>
    </xf>
    <xf numFmtId="0" fontId="79" fillId="28" borderId="0" xfId="0" applyFont="1" applyFill="1" applyAlignment="1">
      <alignment horizontal="center" vertical="center" wrapText="1"/>
    </xf>
    <xf numFmtId="0" fontId="24" fillId="22" borderId="78" xfId="0" applyFont="1" applyFill="1" applyBorder="1" applyAlignment="1">
      <alignment horizontal="left" vertical="center" wrapText="1"/>
    </xf>
    <xf numFmtId="0" fontId="79" fillId="28" borderId="35" xfId="0" applyFont="1" applyFill="1" applyBorder="1" applyAlignment="1">
      <alignment horizontal="center" vertical="center" wrapText="1"/>
    </xf>
    <xf numFmtId="0" fontId="79" fillId="0" borderId="36" xfId="0" applyFont="1" applyBorder="1" applyAlignment="1">
      <alignment horizontal="center" vertical="center" wrapText="1"/>
    </xf>
    <xf numFmtId="0" fontId="79" fillId="0" borderId="35" xfId="0" applyFont="1" applyBorder="1" applyAlignment="1">
      <alignment horizontal="center" vertical="center" wrapText="1"/>
    </xf>
    <xf numFmtId="0" fontId="23" fillId="28" borderId="35" xfId="0" applyFont="1" applyFill="1" applyBorder="1" applyAlignment="1">
      <alignment horizontal="left" vertical="center" wrapText="1"/>
    </xf>
    <xf numFmtId="0" fontId="107" fillId="0" borderId="0" xfId="0" applyFont="1" applyAlignment="1">
      <alignment horizontal="left" vertical="center" wrapText="1"/>
    </xf>
    <xf numFmtId="0" fontId="54" fillId="0" borderId="0" xfId="0" applyFont="1" applyAlignment="1">
      <alignment horizontal="center" vertical="center"/>
    </xf>
    <xf numFmtId="0" fontId="199" fillId="4" borderId="0" xfId="2" applyFont="1" applyFill="1" applyBorder="1" applyAlignment="1">
      <alignment horizontal="center" vertical="center" wrapText="1"/>
    </xf>
    <xf numFmtId="0" fontId="46" fillId="0" borderId="31" xfId="0" applyFont="1" applyBorder="1" applyAlignment="1">
      <alignment horizontal="left" vertical="center" wrapText="1"/>
    </xf>
    <xf numFmtId="0" fontId="46" fillId="0" borderId="31" xfId="0" applyFont="1" applyBorder="1" applyAlignment="1">
      <alignment horizontal="center" vertical="center" wrapText="1"/>
    </xf>
    <xf numFmtId="0" fontId="114" fillId="0" borderId="0" xfId="0" applyFont="1" applyAlignment="1">
      <alignment horizontal="left" vertical="center" wrapText="1"/>
    </xf>
    <xf numFmtId="167" fontId="115" fillId="0" borderId="0" xfId="0" applyNumberFormat="1" applyFont="1" applyAlignment="1">
      <alignment horizontal="center" vertical="center" wrapText="1"/>
    </xf>
    <xf numFmtId="167" fontId="55" fillId="0" borderId="0" xfId="0" applyNumberFormat="1" applyFont="1" applyAlignment="1">
      <alignment horizontal="center" vertical="center" wrapText="1"/>
    </xf>
    <xf numFmtId="0" fontId="0" fillId="35" borderId="0" xfId="0" applyFill="1"/>
    <xf numFmtId="0" fontId="123" fillId="35" borderId="0" xfId="0" applyFont="1" applyFill="1" applyAlignment="1">
      <alignment horizontal="left" vertical="center"/>
    </xf>
    <xf numFmtId="0" fontId="124" fillId="0" borderId="0" xfId="0" applyFont="1" applyAlignment="1">
      <alignment horizontal="center" vertical="center" wrapText="1"/>
    </xf>
    <xf numFmtId="0" fontId="131" fillId="0" borderId="0" xfId="0" applyFont="1" applyAlignment="1">
      <alignment vertical="center" wrapText="1"/>
    </xf>
    <xf numFmtId="0" fontId="132" fillId="0" borderId="0" xfId="0" applyFont="1" applyAlignment="1">
      <alignment horizontal="center" vertical="center" wrapText="1"/>
    </xf>
    <xf numFmtId="0" fontId="133" fillId="0" borderId="0" xfId="0" applyFont="1" applyAlignment="1">
      <alignment horizontal="left" vertical="center" wrapText="1"/>
    </xf>
    <xf numFmtId="0" fontId="134" fillId="0" borderId="0" xfId="0" applyFont="1" applyAlignment="1">
      <alignment horizontal="center" vertical="center" wrapText="1"/>
    </xf>
    <xf numFmtId="0" fontId="135" fillId="0" borderId="0" xfId="0" applyFont="1" applyAlignment="1">
      <alignment horizontal="center"/>
    </xf>
    <xf numFmtId="0" fontId="121" fillId="0" borderId="0" xfId="0" applyFont="1" applyAlignment="1">
      <alignment horizontal="center" vertical="center"/>
    </xf>
    <xf numFmtId="0" fontId="120" fillId="0" borderId="0" xfId="0" applyFont="1" applyAlignment="1">
      <alignment vertical="center" wrapText="1"/>
    </xf>
    <xf numFmtId="0" fontId="0" fillId="0" borderId="153" xfId="0" applyBorder="1"/>
    <xf numFmtId="0" fontId="50" fillId="0" borderId="75" xfId="0" applyFont="1" applyBorder="1" applyAlignment="1">
      <alignment vertical="center"/>
    </xf>
    <xf numFmtId="0" fontId="114" fillId="0" borderId="85" xfId="0" applyFont="1" applyBorder="1" applyAlignment="1">
      <alignment horizontal="left" vertical="center" wrapText="1"/>
    </xf>
    <xf numFmtId="0" fontId="89" fillId="0" borderId="85" xfId="0" applyFont="1" applyBorder="1" applyAlignment="1">
      <alignment horizontal="center" vertical="center" wrapText="1"/>
    </xf>
    <xf numFmtId="167" fontId="115" fillId="0" borderId="85" xfId="0" applyNumberFormat="1" applyFont="1" applyBorder="1" applyAlignment="1">
      <alignment horizontal="center" vertical="center" wrapText="1"/>
    </xf>
    <xf numFmtId="167" fontId="55" fillId="0" borderId="85" xfId="0" applyNumberFormat="1" applyFont="1" applyBorder="1" applyAlignment="1">
      <alignment horizontal="center" vertical="center" wrapText="1"/>
    </xf>
    <xf numFmtId="0" fontId="0" fillId="0" borderId="85" xfId="0" applyBorder="1"/>
    <xf numFmtId="0" fontId="0" fillId="0" borderId="86" xfId="0" applyBorder="1"/>
    <xf numFmtId="0" fontId="112" fillId="0" borderId="0" xfId="0" applyFont="1" applyAlignment="1">
      <alignment horizontal="left" vertical="center" wrapText="1"/>
    </xf>
    <xf numFmtId="0" fontId="101" fillId="0" borderId="0" xfId="0" applyFont="1" applyAlignment="1">
      <alignment horizontal="center"/>
    </xf>
    <xf numFmtId="0" fontId="196" fillId="35" borderId="0" xfId="0" applyFont="1" applyFill="1" applyAlignment="1">
      <alignment horizontal="left" vertical="center"/>
    </xf>
    <xf numFmtId="167" fontId="121" fillId="0" borderId="0" xfId="0" applyNumberFormat="1" applyFont="1" applyAlignment="1">
      <alignment horizontal="center" vertical="center" wrapText="1"/>
    </xf>
    <xf numFmtId="0" fontId="122" fillId="0" borderId="76" xfId="0" applyFont="1" applyBorder="1" applyAlignment="1">
      <alignment horizontal="center" vertical="center"/>
    </xf>
    <xf numFmtId="0" fontId="121" fillId="0" borderId="76" xfId="0" applyFont="1" applyBorder="1" applyAlignment="1">
      <alignment horizontal="center" vertical="center"/>
    </xf>
    <xf numFmtId="4" fontId="0" fillId="0" borderId="85" xfId="0" applyNumberFormat="1" applyBorder="1"/>
    <xf numFmtId="4" fontId="115" fillId="0" borderId="85" xfId="0" applyNumberFormat="1" applyFont="1" applyBorder="1" applyAlignment="1">
      <alignment horizontal="center" vertical="center" wrapText="1"/>
    </xf>
    <xf numFmtId="0" fontId="55" fillId="0" borderId="85" xfId="0" applyFont="1" applyBorder="1" applyAlignment="1">
      <alignment horizontal="center" vertical="center" wrapText="1"/>
    </xf>
    <xf numFmtId="2" fontId="115" fillId="0" borderId="85" xfId="0" applyNumberFormat="1" applyFont="1" applyBorder="1" applyAlignment="1">
      <alignment horizontal="center" vertical="center" wrapText="1"/>
    </xf>
    <xf numFmtId="0" fontId="121" fillId="35" borderId="0" xfId="0" applyFont="1" applyFill="1" applyAlignment="1">
      <alignment horizontal="center" vertical="center"/>
    </xf>
    <xf numFmtId="0" fontId="114" fillId="35" borderId="189" xfId="0" applyFont="1" applyFill="1" applyBorder="1" applyAlignment="1">
      <alignment vertical="center" wrapText="1"/>
    </xf>
    <xf numFmtId="0" fontId="124" fillId="0" borderId="189" xfId="0" applyFont="1" applyBorder="1" applyAlignment="1">
      <alignment horizontal="center" vertical="center" wrapText="1"/>
    </xf>
    <xf numFmtId="0" fontId="124" fillId="0" borderId="189" xfId="0" applyFont="1" applyBorder="1" applyAlignment="1">
      <alignment horizontal="center" vertical="center"/>
    </xf>
    <xf numFmtId="0" fontId="89" fillId="0" borderId="189" xfId="0" applyFont="1" applyBorder="1" applyAlignment="1">
      <alignment horizontal="center" vertical="center" wrapText="1"/>
    </xf>
    <xf numFmtId="4" fontId="55" fillId="0" borderId="189" xfId="0" applyNumberFormat="1" applyFont="1" applyBorder="1" applyAlignment="1">
      <alignment horizontal="center" vertical="center"/>
    </xf>
    <xf numFmtId="4" fontId="55" fillId="0" borderId="189" xfId="0" applyNumberFormat="1" applyFont="1" applyBorder="1" applyAlignment="1">
      <alignment horizontal="center" vertical="center" wrapText="1"/>
    </xf>
    <xf numFmtId="167" fontId="115" fillId="32" borderId="189" xfId="0" applyNumberFormat="1" applyFont="1" applyFill="1" applyBorder="1" applyAlignment="1">
      <alignment horizontal="center" vertical="center" wrapText="1"/>
    </xf>
    <xf numFmtId="167" fontId="89" fillId="0" borderId="189" xfId="0" applyNumberFormat="1" applyFont="1" applyBorder="1" applyAlignment="1">
      <alignment horizontal="center" vertical="center" wrapText="1"/>
    </xf>
    <xf numFmtId="0" fontId="46" fillId="28" borderId="189" xfId="0" applyFont="1" applyFill="1" applyBorder="1" applyAlignment="1">
      <alignment horizontal="left" vertical="center" wrapText="1"/>
    </xf>
    <xf numFmtId="0" fontId="195" fillId="0" borderId="189" xfId="0" applyFont="1" applyBorder="1" applyAlignment="1">
      <alignment horizontal="left" vertical="center" wrapText="1"/>
    </xf>
    <xf numFmtId="167" fontId="115" fillId="33" borderId="189" xfId="0" applyNumberFormat="1" applyFont="1" applyFill="1" applyBorder="1" applyAlignment="1">
      <alignment horizontal="center" vertical="center" wrapText="1"/>
    </xf>
    <xf numFmtId="167" fontId="115" fillId="34" borderId="189" xfId="0" applyNumberFormat="1" applyFont="1" applyFill="1" applyBorder="1" applyAlignment="1">
      <alignment horizontal="center" vertical="center" wrapText="1"/>
    </xf>
    <xf numFmtId="0" fontId="114" fillId="28" borderId="189" xfId="0" applyFont="1" applyFill="1" applyBorder="1" applyAlignment="1">
      <alignment horizontal="left" vertical="center" wrapText="1"/>
    </xf>
    <xf numFmtId="0" fontId="82" fillId="4" borderId="4" xfId="0" applyFont="1" applyFill="1" applyBorder="1" applyAlignment="1">
      <alignment horizontal="center" vertical="center" wrapText="1"/>
    </xf>
    <xf numFmtId="0" fontId="82" fillId="0" borderId="0" xfId="0" applyFont="1" applyAlignment="1">
      <alignment horizontal="center" vertical="center" wrapText="1"/>
    </xf>
    <xf numFmtId="0" fontId="49" fillId="28" borderId="0" xfId="0" applyFont="1" applyFill="1" applyAlignment="1">
      <alignment horizontal="left" vertical="center"/>
    </xf>
    <xf numFmtId="0" fontId="55" fillId="0" borderId="0" xfId="0" applyFont="1" applyAlignment="1">
      <alignment vertical="top" wrapText="1"/>
    </xf>
    <xf numFmtId="0" fontId="151" fillId="0" borderId="0" xfId="0" applyFont="1" applyAlignment="1">
      <alignment vertical="top"/>
    </xf>
    <xf numFmtId="0" fontId="12" fillId="0" borderId="0" xfId="0" applyFont="1" applyAlignment="1">
      <alignment vertical="top"/>
    </xf>
    <xf numFmtId="0" fontId="218" fillId="18" borderId="0" xfId="0" applyFont="1" applyFill="1" applyAlignment="1">
      <alignment vertical="center"/>
    </xf>
    <xf numFmtId="0" fontId="46" fillId="18" borderId="0" xfId="0" applyFont="1" applyFill="1" applyAlignment="1">
      <alignment horizontal="center"/>
    </xf>
    <xf numFmtId="0" fontId="46" fillId="18" borderId="0" xfId="0" applyFont="1" applyFill="1"/>
    <xf numFmtId="0" fontId="45" fillId="0" borderId="0" xfId="0" applyFont="1" applyAlignment="1">
      <alignment horizontal="center" vertical="center"/>
    </xf>
    <xf numFmtId="0" fontId="45" fillId="0" borderId="0" xfId="0" applyFont="1" applyAlignment="1">
      <alignment vertical="center" wrapText="1"/>
    </xf>
    <xf numFmtId="0" fontId="138" fillId="0" borderId="0" xfId="2" applyFont="1" applyFill="1" applyBorder="1" applyAlignment="1">
      <alignment vertical="center" wrapText="1"/>
    </xf>
    <xf numFmtId="0" fontId="138" fillId="0" borderId="0" xfId="2" applyFont="1" applyFill="1" applyBorder="1" applyAlignment="1">
      <alignment wrapText="1"/>
    </xf>
    <xf numFmtId="11" fontId="138" fillId="0" borderId="0" xfId="2" applyNumberFormat="1" applyFont="1" applyFill="1" applyBorder="1" applyAlignment="1">
      <alignment vertical="center" wrapText="1"/>
    </xf>
    <xf numFmtId="11" fontId="141" fillId="0" borderId="0" xfId="0" applyNumberFormat="1" applyFont="1" applyAlignment="1">
      <alignment vertical="center" wrapText="1"/>
    </xf>
    <xf numFmtId="0" fontId="139" fillId="0" borderId="0" xfId="0" applyFont="1" applyAlignment="1">
      <alignment horizontal="center" vertical="center" wrapText="1"/>
    </xf>
    <xf numFmtId="0" fontId="45" fillId="38" borderId="0" xfId="0" applyFont="1" applyFill="1" applyAlignment="1">
      <alignment vertical="center" wrapText="1"/>
    </xf>
    <xf numFmtId="0" fontId="0" fillId="38" borderId="0" xfId="0" applyFill="1" applyAlignment="1">
      <alignment wrapText="1"/>
    </xf>
    <xf numFmtId="0" fontId="46" fillId="18" borderId="0" xfId="0" applyFont="1" applyFill="1" applyAlignment="1">
      <alignment wrapText="1"/>
    </xf>
    <xf numFmtId="0" fontId="139" fillId="18" borderId="193" xfId="0" applyFont="1" applyFill="1" applyBorder="1" applyAlignment="1">
      <alignment horizontal="center" vertical="center" wrapText="1"/>
    </xf>
    <xf numFmtId="0" fontId="46" fillId="0" borderId="193" xfId="0" applyFont="1" applyBorder="1" applyAlignment="1">
      <alignment horizontal="center" vertical="center"/>
    </xf>
    <xf numFmtId="0" fontId="51" fillId="0" borderId="193" xfId="0" applyFont="1" applyBorder="1" applyAlignment="1">
      <alignment horizontal="center" vertical="center" wrapText="1"/>
    </xf>
    <xf numFmtId="0" fontId="40" fillId="0" borderId="193" xfId="0" applyFont="1" applyBorder="1" applyAlignment="1">
      <alignment horizontal="center" vertical="center" wrapText="1"/>
    </xf>
    <xf numFmtId="0" fontId="46" fillId="0" borderId="193" xfId="0" applyFont="1" applyBorder="1" applyAlignment="1">
      <alignment vertical="center" wrapText="1"/>
    </xf>
    <xf numFmtId="0" fontId="46" fillId="0" borderId="78" xfId="0" applyFont="1" applyBorder="1" applyAlignment="1">
      <alignment horizontal="center" vertical="center"/>
    </xf>
    <xf numFmtId="0" fontId="46" fillId="0" borderId="35" xfId="0" applyFont="1" applyBorder="1" applyAlignment="1">
      <alignment horizontal="center" vertical="center"/>
    </xf>
    <xf numFmtId="0" fontId="209" fillId="0" borderId="12" xfId="0" applyFont="1" applyBorder="1"/>
    <xf numFmtId="0" fontId="210" fillId="4" borderId="12" xfId="0" applyFont="1" applyFill="1" applyBorder="1"/>
    <xf numFmtId="0" fontId="209" fillId="4" borderId="12" xfId="0" applyFont="1" applyFill="1" applyBorder="1"/>
    <xf numFmtId="0" fontId="46" fillId="0" borderId="12" xfId="0" applyFont="1" applyBorder="1"/>
    <xf numFmtId="0" fontId="144" fillId="0" borderId="197" xfId="0" applyFont="1" applyBorder="1" applyAlignment="1">
      <alignment vertical="center"/>
    </xf>
    <xf numFmtId="0" fontId="144" fillId="0" borderId="197" xfId="0" applyFont="1" applyBorder="1" applyAlignment="1">
      <alignment horizontal="center" vertical="center"/>
    </xf>
    <xf numFmtId="0" fontId="51" fillId="0" borderId="197" xfId="0" applyFont="1" applyBorder="1"/>
    <xf numFmtId="0" fontId="208" fillId="0" borderId="14" xfId="0" applyFont="1" applyBorder="1" applyAlignment="1">
      <alignment vertical="top" wrapText="1"/>
    </xf>
    <xf numFmtId="0" fontId="211" fillId="0" borderId="14" xfId="0" applyFont="1" applyBorder="1" applyAlignment="1">
      <alignment vertical="top"/>
    </xf>
    <xf numFmtId="1" fontId="212" fillId="0" borderId="14" xfId="0" applyNumberFormat="1" applyFont="1" applyBorder="1" applyAlignment="1">
      <alignment horizontal="right" vertical="top"/>
    </xf>
    <xf numFmtId="49" fontId="212" fillId="0" borderId="14" xfId="0" applyNumberFormat="1" applyFont="1" applyBorder="1" applyAlignment="1">
      <alignment horizontal="left" vertical="top"/>
    </xf>
    <xf numFmtId="0" fontId="212" fillId="0" borderId="14" xfId="0" applyFont="1" applyBorder="1" applyAlignment="1">
      <alignment horizontal="right" vertical="top"/>
    </xf>
    <xf numFmtId="0" fontId="209" fillId="0" borderId="14" xfId="0" applyFont="1" applyBorder="1"/>
    <xf numFmtId="10" fontId="209" fillId="0" borderId="14" xfId="0" applyNumberFormat="1" applyFont="1" applyBorder="1"/>
    <xf numFmtId="0" fontId="51" fillId="0" borderId="14" xfId="0" applyFont="1" applyBorder="1"/>
    <xf numFmtId="0" fontId="53" fillId="18" borderId="0" xfId="0" applyFont="1" applyFill="1" applyAlignment="1">
      <alignment vertical="center"/>
    </xf>
    <xf numFmtId="0" fontId="89" fillId="18" borderId="0" xfId="0" applyFont="1" applyFill="1" applyAlignment="1">
      <alignment vertical="center"/>
    </xf>
    <xf numFmtId="0" fontId="208" fillId="18" borderId="0" xfId="0" applyFont="1" applyFill="1" applyAlignment="1">
      <alignment vertical="top" wrapText="1"/>
    </xf>
    <xf numFmtId="0" fontId="211" fillId="18" borderId="0" xfId="0" applyFont="1" applyFill="1" applyAlignment="1">
      <alignment vertical="top"/>
    </xf>
    <xf numFmtId="1" fontId="212" fillId="18" borderId="0" xfId="0" applyNumberFormat="1" applyFont="1" applyFill="1" applyAlignment="1">
      <alignment horizontal="right" vertical="top"/>
    </xf>
    <xf numFmtId="49" fontId="212" fillId="18" borderId="0" xfId="0" applyNumberFormat="1" applyFont="1" applyFill="1" applyAlignment="1">
      <alignment horizontal="left" vertical="top"/>
    </xf>
    <xf numFmtId="0" fontId="212" fillId="18" borderId="0" xfId="0" applyFont="1" applyFill="1" applyAlignment="1">
      <alignment horizontal="right" vertical="top"/>
    </xf>
    <xf numFmtId="0" fontId="209" fillId="18" borderId="0" xfId="0" applyFont="1" applyFill="1"/>
    <xf numFmtId="10" fontId="209" fillId="18" borderId="0" xfId="0" applyNumberFormat="1" applyFont="1" applyFill="1"/>
    <xf numFmtId="0" fontId="218" fillId="0" borderId="0" xfId="0" applyFont="1" applyAlignment="1">
      <alignment vertical="center"/>
    </xf>
    <xf numFmtId="166" fontId="41" fillId="26" borderId="193" xfId="0" applyNumberFormat="1" applyFont="1" applyFill="1" applyBorder="1" applyAlignment="1">
      <alignment horizontal="center" vertical="center"/>
    </xf>
    <xf numFmtId="166" fontId="51" fillId="0" borderId="193" xfId="0" applyNumberFormat="1" applyFont="1" applyBorder="1" applyAlignment="1">
      <alignment horizontal="center" vertical="center" wrapText="1"/>
    </xf>
    <xf numFmtId="0" fontId="51" fillId="0" borderId="193" xfId="0" applyFont="1" applyBorder="1" applyAlignment="1">
      <alignment horizontal="center" vertical="center"/>
    </xf>
    <xf numFmtId="166" fontId="46" fillId="26" borderId="193" xfId="0" applyNumberFormat="1" applyFont="1" applyFill="1" applyBorder="1" applyAlignment="1">
      <alignment horizontal="center" vertical="center"/>
    </xf>
    <xf numFmtId="172" fontId="51" fillId="0" borderId="193" xfId="0" applyNumberFormat="1" applyFont="1" applyBorder="1" applyAlignment="1">
      <alignment horizontal="center" vertical="center" wrapText="1"/>
    </xf>
    <xf numFmtId="0" fontId="46" fillId="10" borderId="193" xfId="0" applyFont="1" applyFill="1" applyBorder="1" applyAlignment="1">
      <alignment horizontal="center" vertical="center"/>
    </xf>
    <xf numFmtId="0" fontId="46" fillId="10" borderId="193" xfId="0" applyFont="1" applyFill="1" applyBorder="1" applyAlignment="1">
      <alignment vertical="center" wrapText="1"/>
    </xf>
    <xf numFmtId="2" fontId="46" fillId="26" borderId="193" xfId="0" applyNumberFormat="1" applyFont="1" applyFill="1" applyBorder="1" applyAlignment="1">
      <alignment horizontal="center" vertical="center"/>
    </xf>
    <xf numFmtId="2" fontId="46" fillId="0" borderId="193" xfId="0" applyNumberFormat="1" applyFont="1" applyBorder="1" applyAlignment="1">
      <alignment horizontal="center" vertical="center"/>
    </xf>
    <xf numFmtId="172" fontId="40" fillId="0" borderId="193" xfId="0" applyNumberFormat="1" applyFont="1" applyBorder="1" applyAlignment="1">
      <alignment horizontal="center" vertical="center" wrapText="1"/>
    </xf>
    <xf numFmtId="166" fontId="41" fillId="0" borderId="193" xfId="0" applyNumberFormat="1" applyFont="1" applyBorder="1" applyAlignment="1">
      <alignment horizontal="center" vertical="center"/>
    </xf>
    <xf numFmtId="11" fontId="51" fillId="0" borderId="193" xfId="0" applyNumberFormat="1" applyFont="1" applyBorder="1" applyAlignment="1">
      <alignment horizontal="center" vertical="center" wrapText="1"/>
    </xf>
    <xf numFmtId="166" fontId="40" fillId="0" borderId="193" xfId="0" applyNumberFormat="1" applyFont="1" applyBorder="1" applyAlignment="1">
      <alignment horizontal="center" vertical="center" wrapText="1"/>
    </xf>
    <xf numFmtId="2" fontId="51" fillId="0" borderId="193" xfId="0" applyNumberFormat="1" applyFont="1" applyBorder="1" applyAlignment="1">
      <alignment horizontal="center" vertical="center" wrapText="1"/>
    </xf>
    <xf numFmtId="2" fontId="40" fillId="0" borderId="193" xfId="0" applyNumberFormat="1" applyFont="1" applyBorder="1" applyAlignment="1">
      <alignment horizontal="center" vertical="center" wrapText="1"/>
    </xf>
    <xf numFmtId="0" fontId="51" fillId="10" borderId="193" xfId="0" applyFont="1" applyFill="1" applyBorder="1" applyAlignment="1">
      <alignment horizontal="center" vertical="center" wrapText="1"/>
    </xf>
    <xf numFmtId="2" fontId="41" fillId="26" borderId="193" xfId="0" applyNumberFormat="1" applyFont="1" applyFill="1" applyBorder="1" applyAlignment="1">
      <alignment horizontal="center" vertical="center"/>
    </xf>
    <xf numFmtId="0" fontId="51" fillId="0" borderId="193" xfId="0" applyFont="1" applyBorder="1" applyAlignment="1">
      <alignment horizontal="left" vertical="center" wrapText="1"/>
    </xf>
    <xf numFmtId="175" fontId="51" fillId="0" borderId="193" xfId="0" applyNumberFormat="1" applyFont="1" applyBorder="1" applyAlignment="1">
      <alignment horizontal="center" vertical="center" wrapText="1"/>
    </xf>
    <xf numFmtId="176" fontId="51" fillId="0" borderId="193" xfId="0" applyNumberFormat="1" applyFont="1" applyBorder="1" applyAlignment="1">
      <alignment horizontal="center" vertical="center" wrapText="1"/>
    </xf>
    <xf numFmtId="172" fontId="51" fillId="28" borderId="198" xfId="0" applyNumberFormat="1" applyFont="1" applyFill="1" applyBorder="1" applyAlignment="1">
      <alignment vertical="center" wrapText="1"/>
    </xf>
    <xf numFmtId="172" fontId="51" fillId="28" borderId="77" xfId="0" applyNumberFormat="1" applyFont="1" applyFill="1" applyBorder="1" applyAlignment="1">
      <alignment vertical="center" wrapText="1"/>
    </xf>
    <xf numFmtId="172" fontId="51" fillId="28" borderId="199" xfId="0" applyNumberFormat="1" applyFont="1" applyFill="1" applyBorder="1" applyAlignment="1">
      <alignment vertical="center" wrapText="1"/>
    </xf>
    <xf numFmtId="176" fontId="40" fillId="0" borderId="193" xfId="0" applyNumberFormat="1" applyFont="1" applyBorder="1" applyAlignment="1">
      <alignment horizontal="center" vertical="center" wrapText="1"/>
    </xf>
    <xf numFmtId="166" fontId="46" fillId="0" borderId="193" xfId="0" applyNumberFormat="1" applyFont="1" applyBorder="1" applyAlignment="1">
      <alignment horizontal="center" vertical="center"/>
    </xf>
    <xf numFmtId="166" fontId="51" fillId="0" borderId="193" xfId="0" applyNumberFormat="1" applyFont="1" applyBorder="1" applyAlignment="1">
      <alignment horizontal="center" vertical="center"/>
    </xf>
    <xf numFmtId="11" fontId="46" fillId="0" borderId="193" xfId="0" applyNumberFormat="1" applyFont="1" applyBorder="1" applyAlignment="1">
      <alignment horizontal="center" vertical="center"/>
    </xf>
    <xf numFmtId="11" fontId="51" fillId="0" borderId="193" xfId="0" applyNumberFormat="1" applyFont="1" applyBorder="1" applyAlignment="1">
      <alignment horizontal="center" vertical="center"/>
    </xf>
    <xf numFmtId="166" fontId="40" fillId="26" borderId="193" xfId="0" applyNumberFormat="1" applyFont="1" applyFill="1" applyBorder="1" applyAlignment="1">
      <alignment horizontal="center" vertical="center" wrapText="1"/>
    </xf>
    <xf numFmtId="1" fontId="51" fillId="0" borderId="193" xfId="0" applyNumberFormat="1" applyFont="1" applyBorder="1" applyAlignment="1">
      <alignment horizontal="center" vertical="center" wrapText="1"/>
    </xf>
    <xf numFmtId="166" fontId="40" fillId="26" borderId="193" xfId="0" applyNumberFormat="1" applyFont="1" applyFill="1" applyBorder="1" applyAlignment="1">
      <alignment horizontal="center" vertical="center"/>
    </xf>
    <xf numFmtId="166" fontId="51" fillId="26" borderId="193" xfId="0" applyNumberFormat="1" applyFont="1" applyFill="1" applyBorder="1" applyAlignment="1">
      <alignment horizontal="center" vertical="center"/>
    </xf>
    <xf numFmtId="166" fontId="40" fillId="0" borderId="193" xfId="0" applyNumberFormat="1" applyFont="1" applyBorder="1" applyAlignment="1">
      <alignment horizontal="center" vertical="center"/>
    </xf>
    <xf numFmtId="2" fontId="51" fillId="28" borderId="198" xfId="0" applyNumberFormat="1" applyFont="1" applyFill="1" applyBorder="1" applyAlignment="1">
      <alignment vertical="center" wrapText="1"/>
    </xf>
    <xf numFmtId="166" fontId="51" fillId="0" borderId="199" xfId="0" applyNumberFormat="1" applyFont="1" applyBorder="1" applyAlignment="1">
      <alignment horizontal="center" vertical="center" wrapText="1"/>
    </xf>
    <xf numFmtId="176" fontId="51" fillId="28" borderId="193" xfId="0" applyNumberFormat="1" applyFont="1" applyFill="1" applyBorder="1" applyAlignment="1">
      <alignment horizontal="center" vertical="center" wrapText="1"/>
    </xf>
    <xf numFmtId="176" fontId="51" fillId="0" borderId="193" xfId="0" applyNumberFormat="1" applyFont="1" applyBorder="1" applyAlignment="1">
      <alignment vertical="center" wrapText="1"/>
    </xf>
    <xf numFmtId="0" fontId="139" fillId="18" borderId="200" xfId="0" applyFont="1" applyFill="1" applyBorder="1" applyAlignment="1">
      <alignment horizontal="center" vertical="center"/>
    </xf>
    <xf numFmtId="0" fontId="139" fillId="18" borderId="200" xfId="0" applyFont="1" applyFill="1" applyBorder="1" applyAlignment="1">
      <alignment horizontal="center" vertical="center" wrapText="1"/>
    </xf>
    <xf numFmtId="0" fontId="150" fillId="0" borderId="0" xfId="0" applyFont="1" applyAlignment="1">
      <alignment vertical="center"/>
    </xf>
    <xf numFmtId="0" fontId="51" fillId="2" borderId="200" xfId="0" applyFont="1" applyFill="1" applyBorder="1" applyAlignment="1">
      <alignment horizontal="left" vertical="center" indent="1"/>
    </xf>
    <xf numFmtId="0" fontId="51" fillId="2" borderId="200" xfId="0" applyFont="1" applyFill="1" applyBorder="1" applyAlignment="1">
      <alignment horizontal="right" vertical="center" indent="1"/>
    </xf>
    <xf numFmtId="3" fontId="51" fillId="2" borderId="200" xfId="0" applyNumberFormat="1" applyFont="1" applyFill="1" applyBorder="1" applyAlignment="1">
      <alignment horizontal="right" vertical="center" indent="1"/>
    </xf>
    <xf numFmtId="0" fontId="51" fillId="28" borderId="200" xfId="0" applyFont="1" applyFill="1" applyBorder="1" applyAlignment="1">
      <alignment horizontal="right" vertical="center" indent="1"/>
    </xf>
    <xf numFmtId="0" fontId="51" fillId="28" borderId="201" xfId="0" applyFont="1" applyFill="1" applyBorder="1" applyAlignment="1">
      <alignment horizontal="right" vertical="center" indent="1"/>
    </xf>
    <xf numFmtId="0" fontId="51" fillId="28" borderId="202" xfId="0" applyFont="1" applyFill="1" applyBorder="1" applyAlignment="1">
      <alignment horizontal="right"/>
    </xf>
    <xf numFmtId="0" fontId="51" fillId="28" borderId="203" xfId="0" applyFont="1" applyFill="1" applyBorder="1" applyAlignment="1">
      <alignment horizontal="right"/>
    </xf>
    <xf numFmtId="0" fontId="51" fillId="28" borderId="204" xfId="0" applyFont="1" applyFill="1" applyBorder="1" applyAlignment="1">
      <alignment horizontal="right"/>
    </xf>
    <xf numFmtId="0" fontId="51" fillId="28" borderId="205" xfId="0" applyFont="1" applyFill="1" applyBorder="1" applyAlignment="1">
      <alignment horizontal="right"/>
    </xf>
    <xf numFmtId="0" fontId="51" fillId="28" borderId="206" xfId="0" applyFont="1" applyFill="1" applyBorder="1" applyAlignment="1">
      <alignment horizontal="right" vertical="center" indent="1"/>
    </xf>
    <xf numFmtId="0" fontId="51" fillId="28" borderId="207" xfId="0" applyFont="1" applyFill="1" applyBorder="1" applyAlignment="1">
      <alignment horizontal="right" vertical="center" indent="1"/>
    </xf>
    <xf numFmtId="0" fontId="51" fillId="28" borderId="208" xfId="0" applyFont="1" applyFill="1" applyBorder="1" applyAlignment="1">
      <alignment horizontal="right" vertical="center" indent="1"/>
    </xf>
    <xf numFmtId="0" fontId="51" fillId="28" borderId="203" xfId="0" applyFont="1" applyFill="1" applyBorder="1" applyAlignment="1">
      <alignment horizontal="right" vertical="center" indent="1"/>
    </xf>
    <xf numFmtId="0" fontId="53" fillId="2" borderId="0" xfId="0" applyFont="1" applyFill="1"/>
    <xf numFmtId="0" fontId="53" fillId="0" borderId="0" xfId="0" applyFont="1"/>
    <xf numFmtId="0" fontId="178" fillId="2" borderId="0" xfId="0" applyFont="1" applyFill="1"/>
    <xf numFmtId="0" fontId="55" fillId="0" borderId="16" xfId="0" applyFont="1" applyBorder="1" applyAlignment="1">
      <alignment horizontal="justify" vertical="center" wrapText="1"/>
    </xf>
    <xf numFmtId="0" fontId="53" fillId="0" borderId="16" xfId="0" applyFont="1" applyBorder="1"/>
    <xf numFmtId="0" fontId="89" fillId="0" borderId="16" xfId="0" applyFont="1" applyBorder="1"/>
    <xf numFmtId="0" fontId="54" fillId="4" borderId="87" xfId="0" applyFont="1" applyFill="1" applyBorder="1"/>
    <xf numFmtId="0" fontId="15" fillId="32" borderId="0" xfId="0" applyFont="1" applyFill="1"/>
    <xf numFmtId="167" fontId="89" fillId="0" borderId="177" xfId="0" applyNumberFormat="1" applyFont="1" applyBorder="1" applyAlignment="1">
      <alignment horizontal="center" vertical="center"/>
    </xf>
    <xf numFmtId="167" fontId="89" fillId="0" borderId="178" xfId="0" applyNumberFormat="1" applyFont="1" applyBorder="1" applyAlignment="1">
      <alignment horizontal="center" vertical="center"/>
    </xf>
    <xf numFmtId="167" fontId="89" fillId="0" borderId="179" xfId="0" applyNumberFormat="1" applyFont="1" applyBorder="1" applyAlignment="1">
      <alignment horizontal="center" vertical="center"/>
    </xf>
    <xf numFmtId="167" fontId="89" fillId="0" borderId="176" xfId="0" applyNumberFormat="1" applyFont="1" applyBorder="1" applyAlignment="1">
      <alignment horizontal="center" vertical="center"/>
    </xf>
    <xf numFmtId="0" fontId="222" fillId="0" borderId="0" xfId="0" applyFont="1"/>
    <xf numFmtId="2" fontId="222" fillId="0" borderId="0" xfId="0" applyNumberFormat="1" applyFont="1"/>
    <xf numFmtId="0" fontId="129" fillId="0" borderId="0" xfId="0" applyFont="1" applyAlignment="1">
      <alignment vertical="center"/>
    </xf>
    <xf numFmtId="0" fontId="222" fillId="0" borderId="0" xfId="0" applyFont="1" applyAlignment="1">
      <alignment vertical="center"/>
    </xf>
    <xf numFmtId="0" fontId="15" fillId="0" borderId="0" xfId="0" applyFont="1" applyAlignment="1">
      <alignment vertical="center"/>
    </xf>
    <xf numFmtId="2" fontId="15" fillId="0" borderId="0" xfId="0" applyNumberFormat="1" applyFont="1" applyAlignment="1">
      <alignment vertical="center"/>
    </xf>
    <xf numFmtId="0" fontId="88" fillId="28" borderId="209" xfId="0" applyFont="1" applyFill="1" applyBorder="1" applyAlignment="1">
      <alignment horizontal="left" vertical="center"/>
    </xf>
    <xf numFmtId="0" fontId="49" fillId="28" borderId="212" xfId="0" applyFont="1" applyFill="1" applyBorder="1" applyAlignment="1">
      <alignment horizontal="left" vertical="center"/>
    </xf>
    <xf numFmtId="0" fontId="224" fillId="28" borderId="211" xfId="0" applyFont="1" applyFill="1" applyBorder="1" applyAlignment="1">
      <alignment vertical="center"/>
    </xf>
    <xf numFmtId="0" fontId="44" fillId="28" borderId="0" xfId="0" applyFont="1" applyFill="1" applyAlignment="1">
      <alignment vertical="center"/>
    </xf>
    <xf numFmtId="0" fontId="89" fillId="0" borderId="222" xfId="0" applyFont="1" applyBorder="1" applyAlignment="1">
      <alignment horizontal="left" vertical="center" wrapText="1"/>
    </xf>
    <xf numFmtId="0" fontId="55" fillId="0" borderId="221" xfId="0" applyFont="1" applyBorder="1" applyAlignment="1">
      <alignment horizontal="left" vertical="center" wrapText="1"/>
    </xf>
    <xf numFmtId="0" fontId="41" fillId="28" borderId="59" xfId="0" applyFont="1" applyFill="1" applyBorder="1" applyAlignment="1">
      <alignment horizontal="center" vertical="center" wrapText="1"/>
    </xf>
    <xf numFmtId="0" fontId="124" fillId="7" borderId="221" xfId="0" applyFont="1" applyFill="1" applyBorder="1" applyAlignment="1">
      <alignment horizontal="left" vertical="center" wrapText="1"/>
    </xf>
    <xf numFmtId="0" fontId="118" fillId="7" borderId="222" xfId="0" applyFont="1" applyFill="1" applyBorder="1" applyAlignment="1">
      <alignment horizontal="left" vertical="center" wrapText="1"/>
    </xf>
    <xf numFmtId="167" fontId="124" fillId="7" borderId="225" xfId="0" applyNumberFormat="1" applyFont="1" applyFill="1" applyBorder="1" applyAlignment="1">
      <alignment horizontal="center" vertical="center" wrapText="1"/>
    </xf>
    <xf numFmtId="167" fontId="118" fillId="7" borderId="225" xfId="0" applyNumberFormat="1" applyFont="1" applyFill="1" applyBorder="1" applyAlignment="1">
      <alignment horizontal="center" vertical="center" wrapText="1"/>
    </xf>
    <xf numFmtId="0" fontId="41" fillId="10" borderId="231" xfId="0" applyFont="1" applyFill="1" applyBorder="1" applyAlignment="1">
      <alignment horizontal="center" vertical="center" wrapText="1"/>
    </xf>
    <xf numFmtId="0" fontId="41" fillId="10" borderId="213" xfId="0" applyFont="1" applyFill="1" applyBorder="1" applyAlignment="1">
      <alignment horizontal="center" vertical="center" wrapText="1"/>
    </xf>
    <xf numFmtId="0" fontId="55" fillId="10" borderId="224" xfId="0" applyFont="1" applyFill="1" applyBorder="1" applyAlignment="1">
      <alignment horizontal="center" vertical="center" wrapText="1"/>
    </xf>
    <xf numFmtId="0" fontId="55" fillId="10" borderId="223" xfId="0" applyFont="1" applyFill="1" applyBorder="1" applyAlignment="1">
      <alignment horizontal="center" vertical="center" wrapText="1"/>
    </xf>
    <xf numFmtId="0" fontId="94" fillId="0" borderId="213" xfId="0" applyFont="1" applyBorder="1" applyAlignment="1">
      <alignment horizontal="left" vertical="center" wrapText="1"/>
    </xf>
    <xf numFmtId="0" fontId="89" fillId="0" borderId="61" xfId="0" applyFont="1" applyBorder="1" applyAlignment="1">
      <alignment horizontal="center" vertical="center"/>
    </xf>
    <xf numFmtId="0" fontId="55" fillId="10" borderId="179" xfId="0" applyFont="1" applyFill="1" applyBorder="1" applyAlignment="1">
      <alignment horizontal="center" vertical="center" wrapText="1"/>
    </xf>
    <xf numFmtId="0" fontId="41" fillId="0" borderId="237" xfId="0" applyFont="1" applyBorder="1" applyAlignment="1">
      <alignment horizontal="center" vertical="center"/>
    </xf>
    <xf numFmtId="0" fontId="55" fillId="10" borderId="178" xfId="0" applyFont="1" applyFill="1" applyBorder="1" applyAlignment="1">
      <alignment horizontal="center" vertical="center" wrapText="1"/>
    </xf>
    <xf numFmtId="0" fontId="55" fillId="10" borderId="236" xfId="0" applyFont="1" applyFill="1" applyBorder="1" applyAlignment="1">
      <alignment horizontal="center" vertical="center" wrapText="1"/>
    </xf>
    <xf numFmtId="167" fontId="89" fillId="0" borderId="236" xfId="0" applyNumberFormat="1" applyFont="1" applyBorder="1" applyAlignment="1">
      <alignment horizontal="center" vertical="center"/>
    </xf>
    <xf numFmtId="0" fontId="152" fillId="0" borderId="0" xfId="0" applyFont="1" applyAlignment="1">
      <alignment horizontal="left" vertical="center"/>
    </xf>
    <xf numFmtId="2" fontId="89" fillId="0" borderId="0" xfId="0" applyNumberFormat="1" applyFont="1" applyAlignment="1">
      <alignment horizontal="center" vertical="center"/>
    </xf>
    <xf numFmtId="166" fontId="89" fillId="0" borderId="0" xfId="0" applyNumberFormat="1" applyFont="1" applyAlignment="1">
      <alignment horizontal="center" vertical="center"/>
    </xf>
    <xf numFmtId="178" fontId="89" fillId="0" borderId="0" xfId="0" applyNumberFormat="1" applyFont="1" applyAlignment="1">
      <alignment horizontal="center" vertical="center"/>
    </xf>
    <xf numFmtId="0" fontId="0" fillId="0" borderId="238" xfId="0" applyBorder="1"/>
    <xf numFmtId="0" fontId="0" fillId="0" borderId="239" xfId="0" applyBorder="1"/>
    <xf numFmtId="0" fontId="0" fillId="0" borderId="240" xfId="0" applyBorder="1"/>
    <xf numFmtId="0" fontId="89" fillId="0" borderId="62" xfId="0" applyFont="1" applyBorder="1" applyAlignment="1">
      <alignment horizontal="center" vertical="center"/>
    </xf>
    <xf numFmtId="0" fontId="55" fillId="0" borderId="60" xfId="0" applyFont="1" applyBorder="1" applyAlignment="1">
      <alignment horizontal="center" vertical="center"/>
    </xf>
    <xf numFmtId="0" fontId="89" fillId="0" borderId="175" xfId="0" applyFont="1" applyBorder="1" applyAlignment="1">
      <alignment horizontal="center" vertical="center"/>
    </xf>
    <xf numFmtId="167" fontId="55" fillId="7" borderId="213" xfId="0" applyNumberFormat="1" applyFont="1" applyFill="1" applyBorder="1" applyAlignment="1">
      <alignment horizontal="center" vertical="center" wrapText="1"/>
    </xf>
    <xf numFmtId="0" fontId="55" fillId="7" borderId="213" xfId="0" applyFont="1" applyFill="1" applyBorder="1" applyAlignment="1">
      <alignment horizontal="center" vertical="center"/>
    </xf>
    <xf numFmtId="0" fontId="152" fillId="28" borderId="243" xfId="0" applyFont="1" applyFill="1" applyBorder="1" applyAlignment="1">
      <alignment horizontal="left" vertical="center"/>
    </xf>
    <xf numFmtId="0" fontId="149" fillId="27" borderId="228" xfId="0" applyFont="1" applyFill="1" applyBorder="1" applyAlignment="1">
      <alignment horizontal="left" vertical="center" wrapText="1"/>
    </xf>
    <xf numFmtId="167" fontId="89" fillId="0" borderId="231" xfId="0" applyNumberFormat="1" applyFont="1" applyBorder="1" applyAlignment="1">
      <alignment horizontal="center" vertical="center"/>
    </xf>
    <xf numFmtId="0" fontId="40" fillId="0" borderId="193" xfId="0" applyFont="1" applyBorder="1" applyAlignment="1">
      <alignment vertical="center" wrapText="1"/>
    </xf>
    <xf numFmtId="2" fontId="51" fillId="0" borderId="193" xfId="0" applyNumberFormat="1" applyFont="1" applyBorder="1" applyAlignment="1">
      <alignment horizontal="center" vertical="center"/>
    </xf>
    <xf numFmtId="177" fontId="51" fillId="0" borderId="193" xfId="0" applyNumberFormat="1" applyFont="1" applyBorder="1" applyAlignment="1">
      <alignment horizontal="center" vertical="center"/>
    </xf>
    <xf numFmtId="0" fontId="41" fillId="0" borderId="193" xfId="0" applyFont="1" applyBorder="1" applyAlignment="1">
      <alignment vertical="center"/>
    </xf>
    <xf numFmtId="166" fontId="51" fillId="26" borderId="193" xfId="0" applyNumberFormat="1" applyFont="1" applyFill="1" applyBorder="1" applyAlignment="1">
      <alignment horizontal="center" vertical="center" wrapText="1"/>
    </xf>
    <xf numFmtId="176" fontId="40" fillId="0" borderId="193" xfId="0" applyNumberFormat="1" applyFont="1" applyBorder="1" applyAlignment="1">
      <alignment vertical="center" wrapText="1"/>
    </xf>
    <xf numFmtId="166" fontId="40" fillId="26" borderId="200" xfId="0" applyNumberFormat="1" applyFont="1" applyFill="1" applyBorder="1" applyAlignment="1">
      <alignment horizontal="center" vertical="center" wrapText="1"/>
    </xf>
    <xf numFmtId="176" fontId="40" fillId="0" borderId="200" xfId="0" applyNumberFormat="1" applyFont="1" applyBorder="1" applyAlignment="1">
      <alignment horizontal="center" vertical="center" wrapText="1"/>
    </xf>
    <xf numFmtId="0" fontId="40" fillId="0" borderId="193" xfId="0" applyFont="1" applyBorder="1" applyAlignment="1">
      <alignment horizontal="left" vertical="center" wrapText="1"/>
    </xf>
    <xf numFmtId="172" fontId="40" fillId="28" borderId="198" xfId="0" applyNumberFormat="1" applyFont="1" applyFill="1" applyBorder="1" applyAlignment="1">
      <alignment vertical="center" wrapText="1"/>
    </xf>
    <xf numFmtId="172" fontId="40" fillId="28" borderId="77" xfId="0" applyNumberFormat="1" applyFont="1" applyFill="1" applyBorder="1" applyAlignment="1">
      <alignment vertical="center" wrapText="1"/>
    </xf>
    <xf numFmtId="2" fontId="46" fillId="28" borderId="198" xfId="0" applyNumberFormat="1" applyFont="1" applyFill="1" applyBorder="1" applyAlignment="1">
      <alignment vertical="center"/>
    </xf>
    <xf numFmtId="2" fontId="46" fillId="28" borderId="77" xfId="0" applyNumberFormat="1" applyFont="1" applyFill="1" applyBorder="1" applyAlignment="1">
      <alignment vertical="center"/>
    </xf>
    <xf numFmtId="166" fontId="46" fillId="28" borderId="198" xfId="0" applyNumberFormat="1" applyFont="1" applyFill="1" applyBorder="1" applyAlignment="1">
      <alignment vertical="center"/>
    </xf>
    <xf numFmtId="166" fontId="46" fillId="28" borderId="77" xfId="0" applyNumberFormat="1" applyFont="1" applyFill="1" applyBorder="1" applyAlignment="1">
      <alignment vertical="center"/>
    </xf>
    <xf numFmtId="0" fontId="161" fillId="0" borderId="0" xfId="6" applyFont="1"/>
    <xf numFmtId="0" fontId="161" fillId="0" borderId="0" xfId="6" applyFont="1" applyAlignment="1">
      <alignment vertical="center"/>
    </xf>
    <xf numFmtId="0" fontId="161" fillId="0" borderId="0" xfId="6" applyFont="1" applyAlignment="1">
      <alignment horizontal="center"/>
    </xf>
    <xf numFmtId="0" fontId="160" fillId="0" borderId="0" xfId="6" applyFont="1"/>
    <xf numFmtId="0" fontId="160" fillId="0" borderId="91" xfId="6" applyFont="1" applyBorder="1"/>
    <xf numFmtId="0" fontId="160" fillId="0" borderId="91" xfId="6" applyFont="1" applyBorder="1" applyAlignment="1">
      <alignment vertical="center"/>
    </xf>
    <xf numFmtId="0" fontId="160" fillId="0" borderId="0" xfId="6" applyFont="1" applyAlignment="1">
      <alignment vertical="center"/>
    </xf>
    <xf numFmtId="0" fontId="160" fillId="0" borderId="91" xfId="6" applyFont="1" applyBorder="1" applyAlignment="1">
      <alignment horizontal="center"/>
    </xf>
    <xf numFmtId="0" fontId="160" fillId="0" borderId="0" xfId="6" applyFont="1" applyAlignment="1">
      <alignment horizontal="center"/>
    </xf>
    <xf numFmtId="0" fontId="155" fillId="10" borderId="0" xfId="6" applyFont="1" applyFill="1" applyAlignment="1">
      <alignment horizontal="right" vertical="top"/>
    </xf>
    <xf numFmtId="0" fontId="172" fillId="10" borderId="0" xfId="2" applyFont="1" applyFill="1" applyBorder="1" applyAlignment="1">
      <alignment horizontal="left" vertical="top" wrapText="1"/>
    </xf>
    <xf numFmtId="0" fontId="205" fillId="0" borderId="0" xfId="0" applyFont="1" applyAlignment="1">
      <alignment horizontal="left" vertical="center"/>
    </xf>
    <xf numFmtId="0" fontId="83" fillId="0" borderId="0" xfId="0" applyFont="1" applyAlignment="1">
      <alignment horizontal="center" vertical="center"/>
    </xf>
    <xf numFmtId="0" fontId="206" fillId="0" borderId="0" xfId="0" applyFont="1" applyAlignment="1">
      <alignment horizontal="left" vertical="center"/>
    </xf>
    <xf numFmtId="169" fontId="80" fillId="0" borderId="0" xfId="0" applyNumberFormat="1" applyFont="1" applyAlignment="1">
      <alignment horizontal="center" vertical="center"/>
    </xf>
    <xf numFmtId="1" fontId="80" fillId="0" borderId="0" xfId="0" applyNumberFormat="1" applyFont="1" applyAlignment="1">
      <alignment horizontal="center" vertical="center"/>
    </xf>
    <xf numFmtId="166" fontId="80" fillId="0" borderId="0" xfId="0" applyNumberFormat="1" applyFont="1" applyAlignment="1">
      <alignment horizontal="center" vertical="center"/>
    </xf>
    <xf numFmtId="0" fontId="79" fillId="5" borderId="0" xfId="0" applyFont="1" applyFill="1" applyAlignment="1">
      <alignment vertical="center"/>
    </xf>
    <xf numFmtId="0" fontId="80" fillId="5" borderId="0" xfId="0" applyFont="1" applyFill="1" applyAlignment="1">
      <alignment vertical="center"/>
    </xf>
    <xf numFmtId="0" fontId="80" fillId="5" borderId="0" xfId="0" applyFont="1" applyFill="1" applyAlignment="1">
      <alignment horizontal="center" vertical="center"/>
    </xf>
    <xf numFmtId="166" fontId="80" fillId="5" borderId="0" xfId="0" applyNumberFormat="1" applyFont="1" applyFill="1" applyAlignment="1">
      <alignment horizontal="center" vertical="center"/>
    </xf>
    <xf numFmtId="3" fontId="121" fillId="20" borderId="189" xfId="0" applyNumberFormat="1" applyFont="1" applyFill="1" applyBorder="1" applyAlignment="1" applyProtection="1">
      <alignment horizontal="center" vertical="center" wrapText="1"/>
      <protection locked="0"/>
    </xf>
    <xf numFmtId="0" fontId="121" fillId="0" borderId="189" xfId="0" applyFont="1" applyBorder="1" applyAlignment="1" applyProtection="1">
      <alignment horizontal="center" vertical="center" wrapText="1"/>
      <protection locked="0"/>
    </xf>
    <xf numFmtId="0" fontId="16" fillId="16" borderId="0" xfId="2" applyFill="1" applyAlignment="1" applyProtection="1">
      <alignment vertical="center" wrapText="1"/>
      <protection locked="0"/>
    </xf>
    <xf numFmtId="0" fontId="175" fillId="44" borderId="7" xfId="0" applyFont="1" applyFill="1" applyBorder="1" applyAlignment="1" applyProtection="1">
      <alignment horizontal="center" vertical="center" wrapText="1"/>
      <protection locked="0"/>
    </xf>
    <xf numFmtId="0" fontId="89" fillId="20" borderId="7" xfId="0" applyFont="1" applyFill="1" applyBorder="1" applyAlignment="1" applyProtection="1">
      <alignment horizontal="center" vertical="center" wrapText="1"/>
      <protection locked="0"/>
    </xf>
    <xf numFmtId="0" fontId="89" fillId="20" borderId="65" xfId="0" applyFont="1" applyFill="1" applyBorder="1" applyAlignment="1" applyProtection="1">
      <alignment horizontal="center" vertical="center" wrapText="1"/>
      <protection locked="0"/>
    </xf>
    <xf numFmtId="3" fontId="89" fillId="20" borderId="7" xfId="0" applyNumberFormat="1" applyFont="1" applyFill="1" applyBorder="1" applyAlignment="1" applyProtection="1">
      <alignment horizontal="center" vertical="center" wrapText="1"/>
      <protection locked="0"/>
    </xf>
    <xf numFmtId="0" fontId="176" fillId="0" borderId="167" xfId="2" applyFont="1" applyBorder="1" applyAlignment="1" applyProtection="1">
      <alignment horizontal="center" vertical="center" wrapText="1"/>
      <protection locked="0"/>
    </xf>
    <xf numFmtId="0" fontId="176" fillId="0" borderId="113" xfId="2" applyFont="1" applyBorder="1" applyAlignment="1" applyProtection="1">
      <alignment horizontal="center" vertical="center" wrapText="1"/>
      <protection locked="0"/>
    </xf>
    <xf numFmtId="1" fontId="89" fillId="20" borderId="7" xfId="0" applyNumberFormat="1" applyFont="1" applyFill="1" applyBorder="1" applyAlignment="1" applyProtection="1">
      <alignment horizontal="center" vertical="center" wrapText="1"/>
      <protection locked="0"/>
    </xf>
    <xf numFmtId="0" fontId="107" fillId="28" borderId="9" xfId="0" applyFont="1" applyFill="1" applyBorder="1" applyAlignment="1" applyProtection="1">
      <alignment horizontal="center" vertical="center" wrapText="1"/>
      <protection locked="0"/>
    </xf>
    <xf numFmtId="0" fontId="87" fillId="28" borderId="0" xfId="0" applyFont="1" applyFill="1" applyAlignment="1" applyProtection="1">
      <alignment horizontal="center" vertical="center" wrapText="1"/>
      <protection locked="0"/>
    </xf>
    <xf numFmtId="0" fontId="89" fillId="20" borderId="14" xfId="0" applyFont="1" applyFill="1" applyBorder="1" applyAlignment="1" applyProtection="1">
      <alignment horizontal="center" vertical="center" wrapText="1"/>
      <protection locked="0"/>
    </xf>
    <xf numFmtId="3" fontId="89" fillId="49" borderId="7" xfId="0" applyNumberFormat="1" applyFont="1" applyFill="1" applyBorder="1" applyAlignment="1" applyProtection="1">
      <alignment horizontal="center" vertical="center" wrapText="1"/>
      <protection locked="0"/>
    </xf>
    <xf numFmtId="0" fontId="0" fillId="0" borderId="0" xfId="0" applyProtection="1">
      <protection locked="0"/>
    </xf>
    <xf numFmtId="0" fontId="124" fillId="0" borderId="0" xfId="0" applyFont="1" applyAlignment="1" applyProtection="1">
      <alignment vertical="top" wrapText="1"/>
      <protection locked="0"/>
    </xf>
    <xf numFmtId="0" fontId="17" fillId="0" borderId="0" xfId="0" applyFont="1" applyAlignment="1" applyProtection="1">
      <alignment horizontal="center" vertical="center"/>
      <protection locked="0"/>
    </xf>
    <xf numFmtId="3" fontId="46" fillId="0" borderId="0" xfId="0" applyNumberFormat="1" applyFont="1" applyAlignment="1" applyProtection="1">
      <alignment horizontal="center" vertical="center" wrapText="1"/>
      <protection locked="0"/>
    </xf>
    <xf numFmtId="3" fontId="39" fillId="0" borderId="0" xfId="0" applyNumberFormat="1" applyFont="1" applyAlignment="1" applyProtection="1">
      <alignment horizontal="center" vertical="center"/>
      <protection locked="0"/>
    </xf>
    <xf numFmtId="0" fontId="89" fillId="0" borderId="0" xfId="0" applyFont="1" applyAlignment="1" applyProtection="1">
      <alignment vertical="center" wrapText="1"/>
      <protection locked="0"/>
    </xf>
    <xf numFmtId="0" fontId="17" fillId="43" borderId="97" xfId="0" applyFont="1" applyFill="1" applyBorder="1" applyAlignment="1">
      <alignment horizontal="center" vertical="center"/>
    </xf>
    <xf numFmtId="0" fontId="219" fillId="0" borderId="193" xfId="2" applyFont="1" applyBorder="1" applyAlignment="1" applyProtection="1">
      <alignment vertical="center" wrapText="1"/>
      <protection locked="0"/>
    </xf>
    <xf numFmtId="1" fontId="220" fillId="0" borderId="193" xfId="2" applyNumberFormat="1" applyFont="1" applyBorder="1" applyAlignment="1" applyProtection="1">
      <alignment vertical="center" wrapText="1"/>
      <protection locked="0"/>
    </xf>
    <xf numFmtId="11" fontId="220" fillId="0" borderId="193" xfId="2" applyNumberFormat="1" applyFont="1" applyBorder="1" applyAlignment="1" applyProtection="1">
      <alignment vertical="center" wrapText="1"/>
      <protection locked="0"/>
    </xf>
    <xf numFmtId="0" fontId="220" fillId="0" borderId="193" xfId="2" applyFont="1" applyBorder="1" applyAlignment="1" applyProtection="1">
      <alignment vertical="center" wrapText="1"/>
      <protection locked="0"/>
    </xf>
    <xf numFmtId="0" fontId="220" fillId="10" borderId="193" xfId="2" applyFont="1" applyFill="1" applyBorder="1" applyAlignment="1" applyProtection="1">
      <alignment vertical="center" wrapText="1"/>
      <protection locked="0"/>
    </xf>
    <xf numFmtId="0" fontId="182" fillId="0" borderId="87" xfId="0" applyFont="1" applyBorder="1" applyAlignment="1" applyProtection="1">
      <alignment horizontal="center"/>
      <protection locked="0"/>
    </xf>
    <xf numFmtId="0" fontId="89" fillId="0" borderId="87" xfId="0" applyFont="1" applyBorder="1" applyProtection="1">
      <protection locked="0"/>
    </xf>
    <xf numFmtId="0" fontId="27" fillId="0" borderId="0" xfId="0" applyFont="1" applyProtection="1">
      <protection locked="0"/>
    </xf>
    <xf numFmtId="0" fontId="16" fillId="0" borderId="193" xfId="2" applyFill="1" applyBorder="1" applyAlignment="1" applyProtection="1">
      <alignment vertical="center" wrapText="1"/>
      <protection locked="0"/>
    </xf>
    <xf numFmtId="11" fontId="232" fillId="0" borderId="193" xfId="0" applyNumberFormat="1" applyFont="1" applyBorder="1" applyAlignment="1">
      <alignment horizontal="center" vertical="center"/>
    </xf>
    <xf numFmtId="0" fontId="89" fillId="0" borderId="0" xfId="0" applyFont="1" applyAlignment="1">
      <alignment wrapText="1"/>
    </xf>
    <xf numFmtId="3" fontId="89" fillId="0" borderId="216" xfId="0" applyNumberFormat="1" applyFont="1" applyBorder="1" applyAlignment="1">
      <alignment horizontal="center" vertical="center"/>
    </xf>
    <xf numFmtId="2" fontId="51" fillId="26" borderId="193" xfId="0" applyNumberFormat="1" applyFont="1" applyFill="1" applyBorder="1" applyAlignment="1">
      <alignment horizontal="center" vertical="center"/>
    </xf>
    <xf numFmtId="0" fontId="234" fillId="52" borderId="0" xfId="0" applyFont="1" applyFill="1" applyAlignment="1">
      <alignment horizontal="center" vertical="center" wrapText="1"/>
    </xf>
    <xf numFmtId="0" fontId="234" fillId="52" borderId="249" xfId="0" applyFont="1" applyFill="1" applyBorder="1" applyAlignment="1">
      <alignment horizontal="center" vertical="center" wrapText="1"/>
    </xf>
    <xf numFmtId="0" fontId="234" fillId="54" borderId="248" xfId="0" applyFont="1" applyFill="1" applyBorder="1" applyAlignment="1">
      <alignment horizontal="left" vertical="center" wrapText="1"/>
    </xf>
    <xf numFmtId="0" fontId="235" fillId="54" borderId="0" xfId="0" applyFont="1" applyFill="1" applyAlignment="1">
      <alignment horizontal="right" vertical="center"/>
    </xf>
    <xf numFmtId="0" fontId="235" fillId="54" borderId="249" xfId="0" applyFont="1" applyFill="1" applyBorder="1" applyAlignment="1">
      <alignment horizontal="right" vertical="center"/>
    </xf>
    <xf numFmtId="0" fontId="234" fillId="54" borderId="0" xfId="0" applyFont="1" applyFill="1" applyAlignment="1">
      <alignment horizontal="left" vertical="center" wrapText="1"/>
    </xf>
    <xf numFmtId="0" fontId="234" fillId="55" borderId="248" xfId="0" applyFont="1" applyFill="1" applyBorder="1" applyAlignment="1">
      <alignment horizontal="left" vertical="center" wrapText="1" indent="1"/>
    </xf>
    <xf numFmtId="0" fontId="235" fillId="55" borderId="0" xfId="0" applyFont="1" applyFill="1" applyAlignment="1">
      <alignment horizontal="right" vertical="center"/>
    </xf>
    <xf numFmtId="4" fontId="235" fillId="55" borderId="0" xfId="0" applyNumberFormat="1" applyFont="1" applyFill="1" applyAlignment="1">
      <alignment horizontal="right" vertical="center"/>
    </xf>
    <xf numFmtId="4" fontId="235" fillId="55" borderId="249" xfId="0" applyNumberFormat="1" applyFont="1" applyFill="1" applyBorder="1" applyAlignment="1">
      <alignment horizontal="right" vertical="center"/>
    </xf>
    <xf numFmtId="0" fontId="234" fillId="55" borderId="0" xfId="0" applyFont="1" applyFill="1" applyAlignment="1">
      <alignment horizontal="left" vertical="center" wrapText="1" indent="1"/>
    </xf>
    <xf numFmtId="0" fontId="234" fillId="54" borderId="248" xfId="0" applyFont="1" applyFill="1" applyBorder="1" applyAlignment="1">
      <alignment horizontal="left" vertical="center" wrapText="1" indent="1"/>
    </xf>
    <xf numFmtId="0" fontId="235" fillId="55" borderId="249" xfId="0" applyFont="1" applyFill="1" applyBorder="1" applyAlignment="1">
      <alignment horizontal="right" vertical="center"/>
    </xf>
    <xf numFmtId="0" fontId="236" fillId="0" borderId="0" xfId="0" applyFont="1" applyAlignment="1">
      <alignment horizontal="center" vertical="center" wrapText="1"/>
    </xf>
    <xf numFmtId="2" fontId="23" fillId="0" borderId="0" xfId="0" applyNumberFormat="1" applyFont="1"/>
    <xf numFmtId="0" fontId="117" fillId="28" borderId="189" xfId="0" applyFont="1" applyFill="1" applyBorder="1" applyAlignment="1">
      <alignment horizontal="left" vertical="center" wrapText="1"/>
    </xf>
    <xf numFmtId="0" fontId="120" fillId="28" borderId="191" xfId="0" applyFont="1" applyFill="1" applyBorder="1" applyAlignment="1">
      <alignment horizontal="left" vertical="center" wrapText="1"/>
    </xf>
    <xf numFmtId="0" fontId="121" fillId="20" borderId="189" xfId="0" applyFont="1" applyFill="1" applyBorder="1" applyAlignment="1" applyProtection="1">
      <alignment horizontal="center" vertical="center" wrapText="1"/>
      <protection locked="0"/>
    </xf>
    <xf numFmtId="0" fontId="46" fillId="0" borderId="254" xfId="0" applyFont="1" applyBorder="1" applyAlignment="1">
      <alignment horizontal="center" vertical="center" wrapText="1"/>
    </xf>
    <xf numFmtId="0" fontId="0" fillId="0" borderId="97" xfId="0" applyBorder="1" applyAlignment="1">
      <alignment horizontal="center" vertical="center"/>
    </xf>
    <xf numFmtId="0" fontId="0" fillId="0" borderId="129" xfId="0" applyBorder="1" applyAlignment="1">
      <alignment horizontal="center" vertical="center"/>
    </xf>
    <xf numFmtId="0" fontId="46" fillId="0" borderId="257" xfId="0" applyFont="1" applyBorder="1" applyAlignment="1">
      <alignment horizontal="center" vertical="center" wrapText="1"/>
    </xf>
    <xf numFmtId="0" fontId="46" fillId="0" borderId="259" xfId="0" applyFont="1" applyBorder="1" applyAlignment="1">
      <alignment horizontal="center" vertical="center" wrapText="1"/>
    </xf>
    <xf numFmtId="0" fontId="46" fillId="29" borderId="53" xfId="0" applyFont="1" applyFill="1" applyBorder="1" applyAlignment="1">
      <alignment horizontal="center" vertical="center" wrapText="1"/>
    </xf>
    <xf numFmtId="0" fontId="46" fillId="0" borderId="54" xfId="0" applyFont="1" applyBorder="1" applyAlignment="1">
      <alignment horizontal="center" vertical="center" wrapText="1"/>
    </xf>
    <xf numFmtId="0" fontId="121" fillId="0" borderId="189" xfId="0" applyFont="1" applyBorder="1" applyAlignment="1">
      <alignment horizontal="center" vertical="center" wrapText="1"/>
    </xf>
    <xf numFmtId="0" fontId="195" fillId="0" borderId="189" xfId="0" applyFont="1" applyBorder="1" applyAlignment="1">
      <alignment horizontal="left" vertical="center"/>
    </xf>
    <xf numFmtId="4" fontId="124" fillId="0" borderId="189" xfId="0" applyNumberFormat="1" applyFont="1" applyBorder="1" applyAlignment="1">
      <alignment horizontal="center" vertical="center"/>
    </xf>
    <xf numFmtId="4" fontId="124" fillId="0" borderId="189" xfId="0" applyNumberFormat="1" applyFont="1" applyBorder="1" applyAlignment="1">
      <alignment horizontal="center" vertical="center" wrapText="1"/>
    </xf>
    <xf numFmtId="167" fontId="121" fillId="28" borderId="189" xfId="0" applyNumberFormat="1" applyFont="1" applyFill="1" applyBorder="1" applyAlignment="1">
      <alignment horizontal="center" vertical="center" wrapText="1"/>
    </xf>
    <xf numFmtId="4" fontId="121" fillId="0" borderId="0" xfId="0" applyNumberFormat="1" applyFont="1" applyAlignment="1">
      <alignment horizontal="center" vertical="center" wrapText="1"/>
    </xf>
    <xf numFmtId="167" fontId="115" fillId="28" borderId="190" xfId="0" applyNumberFormat="1" applyFont="1" applyFill="1" applyBorder="1" applyAlignment="1">
      <alignment horizontal="center" vertical="center" wrapText="1"/>
    </xf>
    <xf numFmtId="167" fontId="115" fillId="28" borderId="192" xfId="0" applyNumberFormat="1" applyFont="1" applyFill="1" applyBorder="1" applyAlignment="1">
      <alignment horizontal="center" vertical="center" wrapText="1"/>
    </xf>
    <xf numFmtId="167" fontId="115" fillId="28" borderId="191" xfId="0" applyNumberFormat="1" applyFont="1" applyFill="1" applyBorder="1" applyAlignment="1">
      <alignment horizontal="center" vertical="center" wrapText="1"/>
    </xf>
    <xf numFmtId="167" fontId="115" fillId="28" borderId="189" xfId="0" applyNumberFormat="1" applyFont="1" applyFill="1" applyBorder="1" applyAlignment="1">
      <alignment horizontal="center" vertical="center" wrapText="1"/>
    </xf>
    <xf numFmtId="0" fontId="114" fillId="28" borderId="0" xfId="0" applyFont="1" applyFill="1" applyAlignment="1">
      <alignment horizontal="center" vertical="center" wrapText="1"/>
    </xf>
    <xf numFmtId="0" fontId="120" fillId="0" borderId="0" xfId="0" applyFont="1" applyAlignment="1">
      <alignment horizontal="left" vertical="center" wrapText="1"/>
    </xf>
    <xf numFmtId="0" fontId="120" fillId="28" borderId="189" xfId="0" applyFont="1" applyFill="1" applyBorder="1" applyAlignment="1">
      <alignment vertical="center" wrapText="1"/>
    </xf>
    <xf numFmtId="0" fontId="117" fillId="28" borderId="189" xfId="0" applyFont="1" applyFill="1" applyBorder="1" applyAlignment="1">
      <alignment vertical="center" wrapText="1"/>
    </xf>
    <xf numFmtId="0" fontId="113" fillId="0" borderId="0" xfId="0" applyFont="1" applyAlignment="1">
      <alignment horizontal="left" vertical="center" wrapText="1"/>
    </xf>
    <xf numFmtId="167" fontId="55" fillId="28" borderId="214" xfId="0" applyNumberFormat="1" applyFont="1" applyFill="1" applyBorder="1" applyAlignment="1">
      <alignment horizontal="center" vertical="center"/>
    </xf>
    <xf numFmtId="167" fontId="55" fillId="28" borderId="215" xfId="0" applyNumberFormat="1" applyFont="1" applyFill="1" applyBorder="1" applyAlignment="1">
      <alignment horizontal="center" vertical="center"/>
    </xf>
    <xf numFmtId="167" fontId="89" fillId="28" borderId="216" xfId="0" applyNumberFormat="1" applyFont="1" applyFill="1" applyBorder="1" applyAlignment="1">
      <alignment horizontal="center" vertical="center"/>
    </xf>
    <xf numFmtId="167" fontId="89" fillId="28" borderId="217" xfId="0" applyNumberFormat="1" applyFont="1" applyFill="1" applyBorder="1" applyAlignment="1">
      <alignment horizontal="center" vertical="center"/>
    </xf>
    <xf numFmtId="167" fontId="89" fillId="28" borderId="230" xfId="0" applyNumberFormat="1" applyFont="1" applyFill="1" applyBorder="1" applyAlignment="1">
      <alignment horizontal="center" vertical="center"/>
    </xf>
    <xf numFmtId="4" fontId="55" fillId="28" borderId="215" xfId="0" applyNumberFormat="1" applyFont="1" applyFill="1" applyBorder="1" applyAlignment="1">
      <alignment horizontal="center" vertical="center"/>
    </xf>
    <xf numFmtId="4" fontId="124" fillId="7" borderId="225" xfId="0" applyNumberFormat="1" applyFont="1" applyFill="1" applyBorder="1" applyAlignment="1">
      <alignment horizontal="center" vertical="center" wrapText="1"/>
    </xf>
    <xf numFmtId="4" fontId="118" fillId="7" borderId="225" xfId="0" applyNumberFormat="1" applyFont="1" applyFill="1" applyBorder="1" applyAlignment="1">
      <alignment horizontal="center" vertical="center" wrapText="1"/>
    </xf>
    <xf numFmtId="4" fontId="55" fillId="28" borderId="214" xfId="0" applyNumberFormat="1" applyFont="1" applyFill="1" applyBorder="1" applyAlignment="1">
      <alignment horizontal="center" vertical="center"/>
    </xf>
    <xf numFmtId="4" fontId="89" fillId="28" borderId="216" xfId="0" applyNumberFormat="1" applyFont="1" applyFill="1" applyBorder="1" applyAlignment="1">
      <alignment horizontal="center" vertical="center"/>
    </xf>
    <xf numFmtId="4" fontId="89" fillId="28" borderId="244" xfId="0" applyNumberFormat="1" applyFont="1" applyFill="1" applyBorder="1" applyAlignment="1">
      <alignment horizontal="center" vertical="center"/>
    </xf>
    <xf numFmtId="167" fontId="89" fillId="28" borderId="241" xfId="0" applyNumberFormat="1" applyFont="1" applyFill="1" applyBorder="1" applyAlignment="1">
      <alignment horizontal="center" vertical="center"/>
    </xf>
    <xf numFmtId="167" fontId="89" fillId="28" borderId="242" xfId="0" applyNumberFormat="1" applyFont="1" applyFill="1" applyBorder="1" applyAlignment="1">
      <alignment horizontal="center" vertical="center"/>
    </xf>
    <xf numFmtId="167" fontId="89" fillId="28" borderId="232" xfId="0" applyNumberFormat="1" applyFont="1" applyFill="1" applyBorder="1" applyAlignment="1">
      <alignment horizontal="center" vertical="center"/>
    </xf>
    <xf numFmtId="167" fontId="89" fillId="28" borderId="233" xfId="0" applyNumberFormat="1" applyFont="1" applyFill="1" applyBorder="1" applyAlignment="1">
      <alignment horizontal="center" vertical="center"/>
    </xf>
    <xf numFmtId="167" fontId="89" fillId="28" borderId="227" xfId="0" applyNumberFormat="1" applyFont="1" applyFill="1" applyBorder="1" applyAlignment="1">
      <alignment horizontal="center" vertical="center"/>
    </xf>
    <xf numFmtId="167" fontId="89" fillId="28" borderId="226" xfId="0" applyNumberFormat="1" applyFont="1" applyFill="1" applyBorder="1" applyAlignment="1">
      <alignment horizontal="center" vertical="center"/>
    </xf>
    <xf numFmtId="0" fontId="138" fillId="0" borderId="42" xfId="2" applyFont="1" applyBorder="1" applyAlignment="1">
      <alignment horizontal="left" wrapText="1"/>
    </xf>
    <xf numFmtId="11" fontId="138" fillId="0" borderId="42" xfId="2" applyNumberFormat="1" applyFont="1" applyBorder="1" applyAlignment="1">
      <alignment horizontal="left" vertical="center" wrapText="1"/>
    </xf>
    <xf numFmtId="166" fontId="40" fillId="0" borderId="42" xfId="0" applyNumberFormat="1" applyFont="1" applyBorder="1" applyAlignment="1">
      <alignment horizontal="center" vertical="center" wrapText="1"/>
    </xf>
    <xf numFmtId="0" fontId="149" fillId="18" borderId="0" xfId="0" applyFont="1" applyFill="1" applyAlignment="1">
      <alignment horizontal="left" vertical="center"/>
    </xf>
    <xf numFmtId="0" fontId="53" fillId="0" borderId="124" xfId="0" applyFont="1" applyBorder="1" applyAlignment="1">
      <alignment horizontal="left" vertical="center" wrapText="1"/>
    </xf>
    <xf numFmtId="0" fontId="16" fillId="16" borderId="0" xfId="2" applyFill="1" applyAlignment="1" applyProtection="1">
      <alignment vertical="center" wrapText="1"/>
    </xf>
    <xf numFmtId="0" fontId="16" fillId="16" borderId="0" xfId="2" applyFill="1" applyBorder="1" applyAlignment="1" applyProtection="1">
      <alignment vertical="center" wrapText="1"/>
    </xf>
    <xf numFmtId="0" fontId="53" fillId="4" borderId="135" xfId="2" applyFont="1" applyFill="1" applyBorder="1" applyAlignment="1" applyProtection="1">
      <alignment horizontal="center" vertical="center" wrapText="1"/>
    </xf>
    <xf numFmtId="0" fontId="104" fillId="4" borderId="136" xfId="0" applyFont="1" applyFill="1" applyBorder="1" applyAlignment="1">
      <alignment vertical="center" wrapText="1"/>
    </xf>
    <xf numFmtId="0" fontId="137" fillId="10" borderId="0" xfId="0" applyFont="1" applyFill="1"/>
    <xf numFmtId="0" fontId="136" fillId="28" borderId="0" xfId="0" applyFont="1" applyFill="1" applyAlignment="1">
      <alignment vertical="center"/>
    </xf>
    <xf numFmtId="0" fontId="137" fillId="28" borderId="0" xfId="0" applyFont="1" applyFill="1"/>
    <xf numFmtId="0" fontId="171" fillId="45" borderId="119" xfId="0" applyFont="1" applyFill="1" applyBorder="1" applyAlignment="1">
      <alignment vertical="center" wrapText="1"/>
    </xf>
    <xf numFmtId="0" fontId="171" fillId="0" borderId="124" xfId="0" applyFont="1" applyBorder="1" applyAlignment="1">
      <alignment vertical="center" wrapText="1"/>
    </xf>
    <xf numFmtId="0" fontId="227" fillId="0" borderId="111" xfId="0" applyFont="1" applyBorder="1" applyAlignment="1">
      <alignment horizontal="right" vertical="top" wrapText="1"/>
    </xf>
    <xf numFmtId="0" fontId="227" fillId="0" borderId="110" xfId="0" applyFont="1" applyBorder="1" applyAlignment="1">
      <alignment horizontal="right" vertical="top" wrapText="1"/>
    </xf>
    <xf numFmtId="0" fontId="178" fillId="0" borderId="0" xfId="0" applyFont="1" applyAlignment="1">
      <alignment vertical="top" wrapText="1"/>
    </xf>
    <xf numFmtId="0" fontId="107" fillId="0" borderId="67" xfId="0" applyFont="1" applyBorder="1" applyAlignment="1">
      <alignment horizontal="center" vertical="center" wrapText="1"/>
    </xf>
    <xf numFmtId="0" fontId="107" fillId="0" borderId="138" xfId="0" applyFont="1" applyBorder="1" applyAlignment="1">
      <alignment horizontal="center" vertical="center" wrapText="1"/>
    </xf>
    <xf numFmtId="0" fontId="107" fillId="4" borderId="134" xfId="0" applyFont="1" applyFill="1" applyBorder="1" applyAlignment="1">
      <alignment horizontal="center" vertical="center" wrapText="1"/>
    </xf>
    <xf numFmtId="0" fontId="53" fillId="0" borderId="0" xfId="6" applyFont="1" applyAlignment="1">
      <alignment vertical="center" wrapText="1"/>
    </xf>
    <xf numFmtId="0" fontId="53" fillId="0" borderId="0" xfId="6" applyFont="1" applyAlignment="1">
      <alignment horizontal="left" vertical="center" wrapText="1"/>
    </xf>
    <xf numFmtId="0" fontId="191" fillId="0" borderId="0" xfId="0" applyFont="1" applyAlignment="1">
      <alignment horizontal="center" vertical="center"/>
    </xf>
    <xf numFmtId="0" fontId="107" fillId="28" borderId="27" xfId="0" applyFont="1" applyFill="1" applyBorder="1" applyAlignment="1">
      <alignment horizontal="center" vertical="center" wrapText="1"/>
    </xf>
    <xf numFmtId="0" fontId="54" fillId="0" borderId="0" xfId="0" applyFont="1" applyAlignment="1">
      <alignment vertical="center" wrapText="1"/>
    </xf>
    <xf numFmtId="0" fontId="191" fillId="0" borderId="0" xfId="0" applyFont="1"/>
    <xf numFmtId="49" fontId="53" fillId="10" borderId="7" xfId="6" applyNumberFormat="1" applyFont="1" applyFill="1" applyBorder="1" applyAlignment="1">
      <alignment horizontal="left" vertical="center" wrapText="1"/>
    </xf>
    <xf numFmtId="0" fontId="53" fillId="10" borderId="7" xfId="6" applyFont="1" applyFill="1" applyBorder="1" applyAlignment="1">
      <alignment horizontal="left" vertical="center" wrapText="1"/>
    </xf>
    <xf numFmtId="0" fontId="51" fillId="0" borderId="0" xfId="0" applyFont="1" applyAlignment="1">
      <alignment horizontal="center" vertical="center" wrapText="1"/>
    </xf>
    <xf numFmtId="0" fontId="53" fillId="10" borderId="98" xfId="6" applyFont="1" applyFill="1" applyBorder="1" applyAlignment="1">
      <alignment horizontal="left" vertical="center" wrapText="1"/>
    </xf>
    <xf numFmtId="0" fontId="176" fillId="0" borderId="0" xfId="2" applyFont="1" applyAlignment="1" applyProtection="1">
      <alignment vertical="top" wrapText="1"/>
    </xf>
    <xf numFmtId="0" fontId="176" fillId="0" borderId="0" xfId="2" applyFont="1" applyAlignment="1" applyProtection="1">
      <alignment vertical="top"/>
    </xf>
    <xf numFmtId="0" fontId="176" fillId="0" borderId="0" xfId="2" applyFont="1" applyFill="1" applyAlignment="1" applyProtection="1">
      <alignment horizontal="left" vertical="top" wrapText="1"/>
    </xf>
    <xf numFmtId="0" fontId="176" fillId="0" borderId="0" xfId="2" applyFont="1" applyFill="1" applyAlignment="1" applyProtection="1">
      <alignment vertical="top" wrapText="1"/>
    </xf>
    <xf numFmtId="167" fontId="46" fillId="20" borderId="97" xfId="0" applyNumberFormat="1" applyFont="1" applyFill="1" applyBorder="1" applyAlignment="1" applyProtection="1">
      <alignment horizontal="center" vertical="center" wrapText="1"/>
      <protection locked="0"/>
    </xf>
    <xf numFmtId="181" fontId="124" fillId="22" borderId="129" xfId="0" applyNumberFormat="1" applyFont="1" applyFill="1" applyBorder="1" applyAlignment="1">
      <alignment horizontal="center" vertical="center"/>
    </xf>
    <xf numFmtId="0" fontId="11" fillId="20" borderId="5" xfId="0" applyFont="1" applyFill="1" applyBorder="1" applyAlignment="1" applyProtection="1">
      <alignment horizontal="center" vertical="center" wrapText="1"/>
      <protection locked="0"/>
    </xf>
    <xf numFmtId="0" fontId="11" fillId="20" borderId="260" xfId="0" applyFont="1" applyFill="1" applyBorder="1" applyAlignment="1" applyProtection="1">
      <alignment horizontal="center" vertical="center" wrapText="1"/>
      <protection locked="0"/>
    </xf>
    <xf numFmtId="0" fontId="10" fillId="0" borderId="5" xfId="0" applyFont="1" applyBorder="1" applyAlignment="1">
      <alignment horizontal="left" vertical="center" wrapText="1"/>
    </xf>
    <xf numFmtId="0" fontId="9" fillId="20" borderId="5" xfId="0" applyFont="1" applyFill="1" applyBorder="1" applyAlignment="1" applyProtection="1">
      <alignment horizontal="center" vertical="center" wrapText="1"/>
      <protection locked="0"/>
    </xf>
    <xf numFmtId="0" fontId="207" fillId="28" borderId="140" xfId="2" applyFont="1" applyFill="1" applyBorder="1" applyAlignment="1" applyProtection="1">
      <alignment horizontal="center" vertical="center" wrapText="1"/>
      <protection locked="0"/>
    </xf>
    <xf numFmtId="0" fontId="213" fillId="10" borderId="139" xfId="2" applyFont="1" applyFill="1" applyBorder="1" applyAlignment="1" applyProtection="1">
      <alignment horizontal="center" vertical="center" wrapText="1"/>
      <protection locked="0"/>
    </xf>
    <xf numFmtId="0" fontId="8" fillId="21" borderId="69" xfId="0" applyFont="1" applyFill="1" applyBorder="1" applyAlignment="1">
      <alignment horizontal="left" vertical="center" wrapText="1"/>
    </xf>
    <xf numFmtId="0" fontId="7" fillId="0" borderId="6" xfId="0" applyFont="1" applyBorder="1" applyAlignment="1">
      <alignment horizontal="center" vertical="center" wrapText="1"/>
    </xf>
    <xf numFmtId="0" fontId="7" fillId="20" borderId="7" xfId="0" applyFont="1" applyFill="1" applyBorder="1" applyAlignment="1" applyProtection="1">
      <alignment horizontal="center" vertical="center" wrapText="1"/>
      <protection locked="0"/>
    </xf>
    <xf numFmtId="0" fontId="6" fillId="20" borderId="65" xfId="0" applyFont="1" applyFill="1" applyBorder="1" applyAlignment="1" applyProtection="1">
      <alignment horizontal="center" vertical="center" wrapText="1"/>
      <protection locked="0"/>
    </xf>
    <xf numFmtId="0" fontId="6" fillId="41" borderId="5" xfId="0" applyFont="1" applyFill="1" applyBorder="1" applyAlignment="1">
      <alignment horizontal="center" vertical="center" wrapText="1"/>
    </xf>
    <xf numFmtId="0" fontId="89" fillId="20" borderId="4" xfId="0" applyFont="1" applyFill="1" applyBorder="1" applyAlignment="1" applyProtection="1">
      <alignment horizontal="center" vertical="center" wrapText="1"/>
      <protection locked="0"/>
    </xf>
    <xf numFmtId="0" fontId="233" fillId="0" borderId="0" xfId="0" applyFont="1" applyAlignment="1">
      <alignment vertical="top" wrapText="1"/>
    </xf>
    <xf numFmtId="49" fontId="53" fillId="10" borderId="115" xfId="6" applyNumberFormat="1" applyFont="1" applyFill="1" applyBorder="1" applyAlignment="1">
      <alignment vertical="top"/>
    </xf>
    <xf numFmtId="49" fontId="53" fillId="10" borderId="116" xfId="6" applyNumberFormat="1" applyFont="1" applyFill="1" applyBorder="1" applyAlignment="1">
      <alignment vertical="top"/>
    </xf>
    <xf numFmtId="0" fontId="4" fillId="20" borderId="65" xfId="0"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20" borderId="4" xfId="0" applyFont="1" applyFill="1" applyBorder="1" applyAlignment="1" applyProtection="1">
      <alignment horizontal="center" vertical="center" wrapText="1"/>
      <protection locked="0"/>
    </xf>
    <xf numFmtId="0" fontId="4" fillId="0" borderId="11" xfId="0" applyFont="1" applyBorder="1" applyAlignment="1">
      <alignment horizontal="center" vertical="center" wrapText="1"/>
    </xf>
    <xf numFmtId="0" fontId="4" fillId="21" borderId="5" xfId="0" applyFont="1" applyFill="1" applyBorder="1" applyAlignment="1">
      <alignment horizontal="left" vertical="center" wrapText="1"/>
    </xf>
    <xf numFmtId="0" fontId="3" fillId="21" borderId="69" xfId="0" applyFont="1" applyFill="1" applyBorder="1" applyAlignment="1">
      <alignment horizontal="left" vertical="center" wrapText="1"/>
    </xf>
    <xf numFmtId="0" fontId="41" fillId="10" borderId="193" xfId="0" applyFont="1" applyFill="1" applyBorder="1" applyAlignment="1">
      <alignment vertical="center" wrapText="1"/>
    </xf>
    <xf numFmtId="0" fontId="3" fillId="21" borderId="5" xfId="0" applyFont="1" applyFill="1" applyBorder="1" applyAlignment="1">
      <alignment horizontal="left" vertical="center" wrapText="1"/>
    </xf>
    <xf numFmtId="0" fontId="3" fillId="0" borderId="67" xfId="0" applyFont="1" applyBorder="1" applyAlignment="1">
      <alignment horizontal="left" vertical="center" wrapText="1"/>
    </xf>
    <xf numFmtId="3" fontId="3" fillId="20" borderId="7" xfId="0" applyNumberFormat="1" applyFont="1" applyFill="1" applyBorder="1" applyAlignment="1" applyProtection="1">
      <alignment horizontal="center" vertical="center" wrapText="1"/>
      <protection locked="0"/>
    </xf>
    <xf numFmtId="0" fontId="3" fillId="20" borderId="4" xfId="0" applyFont="1" applyFill="1" applyBorder="1" applyAlignment="1">
      <alignment horizontal="center" vertical="center" wrapText="1"/>
    </xf>
    <xf numFmtId="2" fontId="12" fillId="17" borderId="0" xfId="0" applyNumberFormat="1" applyFont="1" applyFill="1" applyAlignment="1">
      <alignment horizontal="center" vertical="center"/>
    </xf>
    <xf numFmtId="169" fontId="80" fillId="0" borderId="7" xfId="0" applyNumberFormat="1" applyFont="1" applyBorder="1" applyAlignment="1">
      <alignment horizontal="center" vertical="center" wrapText="1"/>
    </xf>
    <xf numFmtId="0" fontId="60" fillId="0" borderId="0" xfId="0" applyFont="1" applyAlignment="1">
      <alignment horizontal="left" vertical="center" wrapText="1"/>
    </xf>
    <xf numFmtId="2" fontId="46" fillId="0" borderId="0" xfId="0" applyNumberFormat="1" applyFont="1" applyAlignment="1">
      <alignment horizontal="center" vertical="center" wrapText="1"/>
    </xf>
    <xf numFmtId="2" fontId="51" fillId="0" borderId="0" xfId="0" applyNumberFormat="1" applyFont="1" applyAlignment="1">
      <alignment horizontal="center" vertical="center" wrapText="1"/>
    </xf>
    <xf numFmtId="2" fontId="89" fillId="21" borderId="4" xfId="0" applyNumberFormat="1" applyFont="1" applyFill="1" applyBorder="1" applyAlignment="1">
      <alignment horizontal="center" vertical="center" wrapText="1"/>
    </xf>
    <xf numFmtId="1" fontId="51" fillId="0" borderId="193" xfId="0" applyNumberFormat="1" applyFont="1" applyBorder="1" applyAlignment="1">
      <alignment vertical="center" wrapText="1"/>
    </xf>
    <xf numFmtId="11" fontId="51" fillId="0" borderId="193" xfId="0" applyNumberFormat="1" applyFont="1" applyBorder="1" applyAlignment="1">
      <alignment vertical="center" wrapText="1"/>
    </xf>
    <xf numFmtId="0" fontId="2" fillId="20" borderId="7" xfId="0" applyFont="1" applyFill="1" applyBorder="1" applyAlignment="1" applyProtection="1">
      <alignment horizontal="center" vertical="center" wrapText="1"/>
      <protection locked="0"/>
    </xf>
    <xf numFmtId="0" fontId="35" fillId="0" borderId="0" xfId="0" applyFont="1" applyAlignment="1">
      <alignment horizontal="left" vertical="top" wrapText="1"/>
    </xf>
    <xf numFmtId="0" fontId="35" fillId="0" borderId="0" xfId="0" applyFont="1" applyAlignment="1">
      <alignment horizontal="left" wrapText="1"/>
    </xf>
    <xf numFmtId="0" fontId="27" fillId="13" borderId="0" xfId="0" applyFont="1" applyFill="1" applyAlignment="1">
      <alignment horizontal="left" vertical="center" wrapText="1"/>
    </xf>
    <xf numFmtId="0" fontId="29" fillId="13" borderId="0" xfId="0" quotePrefix="1" applyFont="1" applyFill="1" applyAlignment="1">
      <alignment horizontal="left" vertical="center" wrapText="1"/>
    </xf>
    <xf numFmtId="0" fontId="22" fillId="0" borderId="0" xfId="0" applyFont="1" applyAlignment="1">
      <alignment horizontal="center"/>
    </xf>
    <xf numFmtId="0" fontId="27" fillId="6" borderId="1" xfId="0" applyFont="1" applyFill="1" applyBorder="1" applyAlignment="1" applyProtection="1">
      <alignment horizontal="center" vertical="center"/>
      <protection locked="0"/>
    </xf>
    <xf numFmtId="0" fontId="27" fillId="6" borderId="2" xfId="0" applyFont="1" applyFill="1" applyBorder="1" applyAlignment="1" applyProtection="1">
      <alignment horizontal="center" vertical="center"/>
      <protection locked="0"/>
    </xf>
    <xf numFmtId="0" fontId="27" fillId="6" borderId="3" xfId="0" applyFont="1" applyFill="1" applyBorder="1" applyAlignment="1" applyProtection="1">
      <alignment horizontal="center" vertical="center"/>
      <protection locked="0"/>
    </xf>
    <xf numFmtId="49" fontId="40" fillId="10" borderId="0" xfId="6" applyNumberFormat="1" applyFont="1" applyFill="1" applyAlignment="1">
      <alignment horizontal="left" vertical="top" wrapText="1"/>
    </xf>
    <xf numFmtId="0" fontId="155" fillId="10" borderId="0" xfId="6" applyFont="1" applyFill="1" applyAlignment="1">
      <alignment horizontal="right" vertical="top" wrapText="1"/>
    </xf>
    <xf numFmtId="0" fontId="51" fillId="10" borderId="0" xfId="6" applyFont="1" applyFill="1" applyAlignment="1">
      <alignment horizontal="left" vertical="center" wrapText="1"/>
    </xf>
    <xf numFmtId="0" fontId="40" fillId="10" borderId="0" xfId="6" applyFont="1" applyFill="1" applyAlignment="1">
      <alignment horizontal="left" vertical="top" wrapText="1"/>
    </xf>
    <xf numFmtId="0" fontId="51" fillId="10" borderId="0" xfId="6" applyFont="1" applyFill="1" applyAlignment="1">
      <alignment horizontal="left" vertical="top" wrapText="1"/>
    </xf>
    <xf numFmtId="0" fontId="53" fillId="10" borderId="110" xfId="6" applyFont="1" applyFill="1" applyBorder="1" applyAlignment="1">
      <alignment horizontal="left" vertical="center" wrapText="1"/>
    </xf>
    <xf numFmtId="0" fontId="178" fillId="10" borderId="120" xfId="6" applyFont="1" applyFill="1" applyBorder="1" applyAlignment="1">
      <alignment horizontal="right" vertical="top"/>
    </xf>
    <xf numFmtId="0" fontId="178" fillId="10" borderId="122" xfId="6" applyFont="1" applyFill="1" applyBorder="1" applyAlignment="1">
      <alignment horizontal="right" vertical="top"/>
    </xf>
    <xf numFmtId="0" fontId="178" fillId="10" borderId="124" xfId="6" applyFont="1" applyFill="1" applyBorder="1" applyAlignment="1">
      <alignment horizontal="right" vertical="top"/>
    </xf>
    <xf numFmtId="0" fontId="178" fillId="10" borderId="123" xfId="6" applyFont="1" applyFill="1" applyBorder="1" applyAlignment="1">
      <alignment horizontal="right" vertical="top"/>
    </xf>
    <xf numFmtId="0" fontId="178" fillId="10" borderId="117" xfId="6" applyFont="1" applyFill="1" applyBorder="1" applyAlignment="1">
      <alignment horizontal="right" vertical="top"/>
    </xf>
    <xf numFmtId="0" fontId="178" fillId="10" borderId="119" xfId="6" applyFont="1" applyFill="1" applyBorder="1" applyAlignment="1">
      <alignment horizontal="right" vertical="top"/>
    </xf>
    <xf numFmtId="0" fontId="53" fillId="10" borderId="114" xfId="6" applyFont="1" applyFill="1" applyBorder="1" applyAlignment="1">
      <alignment horizontal="left" vertical="center" wrapText="1"/>
    </xf>
    <xf numFmtId="0" fontId="53" fillId="10" borderId="115" xfId="6" applyFont="1" applyFill="1" applyBorder="1" applyAlignment="1">
      <alignment horizontal="left" vertical="center" wrapText="1"/>
    </xf>
    <xf numFmtId="0" fontId="53" fillId="10" borderId="116" xfId="6" applyFont="1" applyFill="1" applyBorder="1" applyAlignment="1">
      <alignment horizontal="left" vertical="center" wrapText="1"/>
    </xf>
    <xf numFmtId="0" fontId="180" fillId="10" borderId="114" xfId="2" applyFont="1" applyFill="1" applyBorder="1" applyAlignment="1" applyProtection="1">
      <alignment horizontal="left" vertical="top" wrapText="1"/>
      <protection locked="0"/>
    </xf>
    <xf numFmtId="0" fontId="180" fillId="10" borderId="115" xfId="2" applyFont="1" applyFill="1" applyBorder="1" applyAlignment="1" applyProtection="1">
      <alignment horizontal="left" vertical="top" wrapText="1"/>
      <protection locked="0"/>
    </xf>
    <xf numFmtId="0" fontId="180" fillId="10" borderId="116" xfId="2" applyFont="1" applyFill="1" applyBorder="1" applyAlignment="1" applyProtection="1">
      <alignment horizontal="left" vertical="top" wrapText="1"/>
      <protection locked="0"/>
    </xf>
    <xf numFmtId="0" fontId="53" fillId="0" borderId="0" xfId="0" applyFont="1" applyAlignment="1">
      <alignment horizontal="left" vertical="center" wrapText="1"/>
    </xf>
    <xf numFmtId="0" fontId="171" fillId="0" borderId="0" xfId="0" applyFont="1" applyAlignment="1">
      <alignment horizontal="left" vertical="center" wrapText="1"/>
    </xf>
    <xf numFmtId="0" fontId="178" fillId="10" borderId="114" xfId="6" applyFont="1" applyFill="1" applyBorder="1" applyAlignment="1">
      <alignment horizontal="right" vertical="top" wrapText="1"/>
    </xf>
    <xf numFmtId="0" fontId="178" fillId="10" borderId="116" xfId="6" applyFont="1" applyFill="1" applyBorder="1" applyAlignment="1">
      <alignment horizontal="right" vertical="top" wrapText="1"/>
    </xf>
    <xf numFmtId="0" fontId="178" fillId="10" borderId="110" xfId="6" applyFont="1" applyFill="1" applyBorder="1" applyAlignment="1">
      <alignment horizontal="right" vertical="top"/>
    </xf>
    <xf numFmtId="0" fontId="180" fillId="10" borderId="112" xfId="2" applyFont="1" applyFill="1" applyBorder="1" applyAlignment="1" applyProtection="1">
      <alignment horizontal="left" vertical="top" wrapText="1"/>
      <protection locked="0"/>
    </xf>
    <xf numFmtId="0" fontId="178" fillId="10" borderId="110" xfId="6" applyFont="1" applyFill="1" applyBorder="1" applyAlignment="1">
      <alignment horizontal="right" vertical="top" wrapText="1"/>
    </xf>
    <xf numFmtId="49" fontId="51" fillId="10" borderId="0" xfId="6" applyNumberFormat="1" applyFont="1" applyFill="1" applyAlignment="1">
      <alignment horizontal="left" vertical="top" wrapText="1"/>
    </xf>
    <xf numFmtId="0" fontId="53" fillId="10" borderId="110" xfId="6" applyFont="1" applyFill="1" applyBorder="1" applyAlignment="1">
      <alignment horizontal="left" vertical="top" wrapText="1"/>
    </xf>
    <xf numFmtId="0" fontId="178" fillId="10" borderId="120" xfId="6" applyFont="1" applyFill="1" applyBorder="1" applyAlignment="1">
      <alignment horizontal="right" vertical="top" wrapText="1"/>
    </xf>
    <xf numFmtId="0" fontId="178" fillId="10" borderId="122" xfId="6" applyFont="1" applyFill="1" applyBorder="1" applyAlignment="1">
      <alignment horizontal="right" vertical="top" wrapText="1"/>
    </xf>
    <xf numFmtId="0" fontId="178" fillId="10" borderId="124" xfId="6" applyFont="1" applyFill="1" applyBorder="1" applyAlignment="1">
      <alignment horizontal="right" vertical="top" wrapText="1"/>
    </xf>
    <xf numFmtId="0" fontId="178" fillId="10" borderId="123" xfId="6" applyFont="1" applyFill="1" applyBorder="1" applyAlignment="1">
      <alignment horizontal="right" vertical="top" wrapText="1"/>
    </xf>
    <xf numFmtId="0" fontId="178" fillId="10" borderId="117" xfId="6" applyFont="1" applyFill="1" applyBorder="1" applyAlignment="1">
      <alignment horizontal="right" vertical="top" wrapText="1"/>
    </xf>
    <xf numFmtId="0" fontId="178" fillId="10" borderId="119" xfId="6" applyFont="1" applyFill="1" applyBorder="1" applyAlignment="1">
      <alignment horizontal="right" vertical="top" wrapText="1"/>
    </xf>
    <xf numFmtId="0" fontId="82" fillId="42" borderId="0" xfId="6" applyFont="1" applyFill="1" applyAlignment="1">
      <alignment horizontal="left" vertical="center"/>
    </xf>
    <xf numFmtId="0" fontId="155" fillId="10" borderId="0" xfId="6" applyFont="1" applyFill="1" applyAlignment="1">
      <alignment horizontal="right" vertical="top"/>
    </xf>
    <xf numFmtId="49" fontId="143" fillId="10" borderId="0" xfId="6" applyNumberFormat="1" applyFont="1" applyFill="1" applyAlignment="1">
      <alignment horizontal="left" vertical="top" wrapText="1"/>
    </xf>
    <xf numFmtId="0" fontId="172" fillId="10" borderId="0" xfId="2" applyFont="1" applyFill="1" applyBorder="1" applyAlignment="1">
      <alignment horizontal="left" vertical="top" wrapText="1"/>
    </xf>
    <xf numFmtId="0" fontId="46" fillId="10" borderId="0" xfId="6" applyFont="1" applyFill="1" applyAlignment="1">
      <alignment horizontal="left" vertical="center" wrapText="1"/>
    </xf>
    <xf numFmtId="0" fontId="53" fillId="10" borderId="114" xfId="6" applyFont="1" applyFill="1" applyBorder="1" applyAlignment="1">
      <alignment horizontal="left" vertical="top"/>
    </xf>
    <xf numFmtId="0" fontId="53" fillId="10" borderId="115" xfId="6" applyFont="1" applyFill="1" applyBorder="1" applyAlignment="1">
      <alignment horizontal="left" vertical="top"/>
    </xf>
    <xf numFmtId="0" fontId="53" fillId="10" borderId="116" xfId="6" applyFont="1" applyFill="1" applyBorder="1" applyAlignment="1">
      <alignment horizontal="left" vertical="top"/>
    </xf>
    <xf numFmtId="0" fontId="169" fillId="45" borderId="110" xfId="0" applyFont="1" applyFill="1" applyBorder="1" applyAlignment="1">
      <alignment horizontal="left" vertical="center" wrapText="1"/>
    </xf>
    <xf numFmtId="0" fontId="52" fillId="10" borderId="110" xfId="6" applyFont="1" applyFill="1" applyBorder="1" applyAlignment="1">
      <alignment horizontal="left" vertical="top" wrapText="1"/>
    </xf>
    <xf numFmtId="0" fontId="158" fillId="45" borderId="0" xfId="6" applyFont="1" applyFill="1" applyAlignment="1">
      <alignment horizontal="left" vertical="center"/>
    </xf>
    <xf numFmtId="0" fontId="176" fillId="10" borderId="110" xfId="2" applyFont="1" applyFill="1" applyBorder="1" applyAlignment="1" applyProtection="1">
      <alignment horizontal="left" vertical="top" wrapText="1"/>
      <protection locked="0"/>
    </xf>
    <xf numFmtId="49" fontId="53" fillId="10" borderId="110" xfId="6" applyNumberFormat="1" applyFont="1" applyFill="1" applyBorder="1" applyAlignment="1">
      <alignment horizontal="left" vertical="top" wrapText="1"/>
    </xf>
    <xf numFmtId="49" fontId="52" fillId="10" borderId="110" xfId="6" applyNumberFormat="1" applyFont="1" applyFill="1" applyBorder="1" applyAlignment="1">
      <alignment horizontal="left" vertical="top" wrapText="1"/>
    </xf>
    <xf numFmtId="49" fontId="142" fillId="10" borderId="114" xfId="6" applyNumberFormat="1" applyFont="1" applyFill="1" applyBorder="1" applyAlignment="1">
      <alignment horizontal="left" vertical="top" wrapText="1"/>
    </xf>
    <xf numFmtId="49" fontId="142" fillId="10" borderId="115" xfId="6" applyNumberFormat="1" applyFont="1" applyFill="1" applyBorder="1" applyAlignment="1">
      <alignment horizontal="left" vertical="top" wrapText="1"/>
    </xf>
    <xf numFmtId="49" fontId="142" fillId="10" borderId="116" xfId="6" applyNumberFormat="1" applyFont="1" applyFill="1" applyBorder="1" applyAlignment="1">
      <alignment horizontal="left" vertical="top" wrapText="1"/>
    </xf>
    <xf numFmtId="49" fontId="53" fillId="10" borderId="114" xfId="6" applyNumberFormat="1" applyFont="1" applyFill="1" applyBorder="1" applyAlignment="1">
      <alignment horizontal="left" vertical="top" wrapText="1"/>
    </xf>
    <xf numFmtId="49" fontId="53" fillId="10" borderId="115" xfId="6" applyNumberFormat="1" applyFont="1" applyFill="1" applyBorder="1" applyAlignment="1">
      <alignment horizontal="left" vertical="top" wrapText="1"/>
    </xf>
    <xf numFmtId="49" fontId="53" fillId="10" borderId="116" xfId="6" applyNumberFormat="1" applyFont="1" applyFill="1" applyBorder="1" applyAlignment="1">
      <alignment horizontal="left" vertical="top" wrapText="1"/>
    </xf>
    <xf numFmtId="49" fontId="52" fillId="10" borderId="114" xfId="6" applyNumberFormat="1" applyFont="1" applyFill="1" applyBorder="1" applyAlignment="1">
      <alignment horizontal="left" vertical="top" wrapText="1"/>
    </xf>
    <xf numFmtId="49" fontId="52" fillId="10" borderId="115" xfId="6" applyNumberFormat="1" applyFont="1" applyFill="1" applyBorder="1" applyAlignment="1">
      <alignment horizontal="left" vertical="top" wrapText="1"/>
    </xf>
    <xf numFmtId="0" fontId="53" fillId="0" borderId="110" xfId="6" applyFont="1" applyBorder="1" applyAlignment="1">
      <alignment horizontal="left" vertical="center" wrapText="1"/>
    </xf>
    <xf numFmtId="0" fontId="226" fillId="10" borderId="110" xfId="6" applyFont="1" applyFill="1" applyBorder="1" applyAlignment="1" applyProtection="1">
      <alignment horizontal="left" vertical="top" wrapText="1"/>
      <protection locked="0"/>
    </xf>
    <xf numFmtId="0" fontId="169" fillId="45" borderId="120" xfId="0" applyFont="1" applyFill="1" applyBorder="1" applyAlignment="1">
      <alignment horizontal="left" vertical="center" wrapText="1"/>
    </xf>
    <xf numFmtId="0" fontId="169" fillId="45" borderId="121" xfId="0" applyFont="1" applyFill="1" applyBorder="1" applyAlignment="1">
      <alignment horizontal="left" vertical="center" wrapText="1"/>
    </xf>
    <xf numFmtId="0" fontId="169" fillId="45" borderId="122" xfId="0" applyFont="1" applyFill="1" applyBorder="1" applyAlignment="1">
      <alignment horizontal="left" vertical="center" wrapText="1"/>
    </xf>
    <xf numFmtId="0" fontId="178" fillId="10" borderId="114" xfId="6" applyFont="1" applyFill="1" applyBorder="1" applyAlignment="1">
      <alignment horizontal="right" vertical="top"/>
    </xf>
    <xf numFmtId="0" fontId="178" fillId="10" borderId="116" xfId="6" applyFont="1" applyFill="1" applyBorder="1" applyAlignment="1">
      <alignment horizontal="right" vertical="top"/>
    </xf>
    <xf numFmtId="0" fontId="53" fillId="0" borderId="110" xfId="6" applyFont="1" applyBorder="1" applyAlignment="1">
      <alignment horizontal="left" vertical="top" wrapText="1"/>
    </xf>
    <xf numFmtId="0" fontId="79" fillId="0" borderId="0" xfId="0" applyFont="1" applyAlignment="1">
      <alignment horizontal="center" vertical="center" wrapText="1"/>
    </xf>
    <xf numFmtId="0" fontId="37" fillId="0" borderId="0" xfId="2" applyFont="1" applyBorder="1" applyAlignment="1">
      <alignment horizontal="left" vertical="top" wrapText="1"/>
    </xf>
    <xf numFmtId="0" fontId="180" fillId="10" borderId="113" xfId="2" applyFont="1" applyFill="1" applyBorder="1" applyAlignment="1" applyProtection="1">
      <alignment horizontal="left" vertical="top" wrapText="1"/>
      <protection locked="0"/>
    </xf>
    <xf numFmtId="0" fontId="53" fillId="10" borderId="111" xfId="6" applyFont="1" applyFill="1" applyBorder="1" applyAlignment="1">
      <alignment horizontal="left" vertical="top" wrapText="1"/>
    </xf>
    <xf numFmtId="0" fontId="53" fillId="10" borderId="125" xfId="6" applyFont="1" applyFill="1" applyBorder="1" applyAlignment="1">
      <alignment horizontal="left" vertical="top" wrapText="1"/>
    </xf>
    <xf numFmtId="0" fontId="53" fillId="10" borderId="126" xfId="6" applyFont="1" applyFill="1" applyBorder="1" applyAlignment="1">
      <alignment horizontal="left" vertical="top" wrapText="1"/>
    </xf>
    <xf numFmtId="0" fontId="53" fillId="10" borderId="127" xfId="6" applyFont="1" applyFill="1" applyBorder="1" applyAlignment="1">
      <alignment horizontal="left" vertical="top" wrapText="1"/>
    </xf>
    <xf numFmtId="0" fontId="49" fillId="28" borderId="0" xfId="0" applyFont="1" applyFill="1" applyAlignment="1">
      <alignment horizontal="left" vertical="center"/>
    </xf>
    <xf numFmtId="0" fontId="53" fillId="10" borderId="96" xfId="6" applyFont="1" applyFill="1" applyBorder="1" applyAlignment="1">
      <alignment horizontal="left" vertical="top" wrapText="1"/>
    </xf>
    <xf numFmtId="0" fontId="228" fillId="0" borderId="114" xfId="0" applyFont="1" applyBorder="1" applyAlignment="1">
      <alignment horizontal="left" vertical="top" wrapText="1"/>
    </xf>
    <xf numFmtId="0" fontId="228" fillId="0" borderId="115" xfId="0" applyFont="1" applyBorder="1" applyAlignment="1">
      <alignment horizontal="left" vertical="top" wrapText="1"/>
    </xf>
    <xf numFmtId="0" fontId="228" fillId="0" borderId="116" xfId="0" applyFont="1" applyBorder="1" applyAlignment="1">
      <alignment horizontal="left" vertical="top" wrapText="1"/>
    </xf>
    <xf numFmtId="0" fontId="228" fillId="0" borderId="114" xfId="0" applyFont="1" applyBorder="1" applyAlignment="1">
      <alignment horizontal="left" vertical="center" wrapText="1"/>
    </xf>
    <xf numFmtId="0" fontId="228" fillId="0" borderId="115" xfId="0" applyFont="1" applyBorder="1" applyAlignment="1">
      <alignment horizontal="left" vertical="center" wrapText="1"/>
    </xf>
    <xf numFmtId="0" fontId="228" fillId="0" borderId="116" xfId="0" applyFont="1" applyBorder="1" applyAlignment="1">
      <alignment horizontal="left" vertical="center" wrapText="1"/>
    </xf>
    <xf numFmtId="0" fontId="113" fillId="10" borderId="4" xfId="6" applyFont="1" applyFill="1" applyBorder="1" applyAlignment="1">
      <alignment horizontal="left" vertical="center" wrapText="1"/>
    </xf>
    <xf numFmtId="0" fontId="113" fillId="10" borderId="137" xfId="6" applyFont="1" applyFill="1" applyBorder="1" applyAlignment="1">
      <alignment horizontal="left" vertical="center" wrapText="1"/>
    </xf>
    <xf numFmtId="0" fontId="128" fillId="20" borderId="0" xfId="7" applyFont="1" applyFill="1" applyBorder="1" applyAlignment="1" applyProtection="1">
      <alignment horizontal="left" vertical="center"/>
      <protection locked="0"/>
    </xf>
    <xf numFmtId="0" fontId="128" fillId="20" borderId="0" xfId="7" applyFont="1" applyFill="1" applyBorder="1" applyAlignment="1" applyProtection="1">
      <alignment horizontal="left" vertical="center" wrapText="1"/>
      <protection locked="0"/>
    </xf>
    <xf numFmtId="14" fontId="128" fillId="20" borderId="0" xfId="7" applyNumberFormat="1" applyFont="1" applyFill="1" applyBorder="1" applyAlignment="1" applyProtection="1">
      <alignment horizontal="left" vertical="center"/>
      <protection locked="0"/>
    </xf>
    <xf numFmtId="0" fontId="215" fillId="0" borderId="141" xfId="0" applyFont="1" applyBorder="1" applyAlignment="1">
      <alignment horizontal="right" vertical="top" wrapText="1"/>
    </xf>
    <xf numFmtId="0" fontId="201" fillId="0" borderId="141" xfId="0" applyFont="1" applyBorder="1" applyAlignment="1">
      <alignment horizontal="right" vertical="top" wrapText="1"/>
    </xf>
    <xf numFmtId="0" fontId="125" fillId="0" borderId="159" xfId="0" applyFont="1" applyBorder="1" applyAlignment="1">
      <alignment horizontal="left" vertical="top" wrapText="1"/>
    </xf>
    <xf numFmtId="0" fontId="125" fillId="0" borderId="161" xfId="0" applyFont="1" applyBorder="1" applyAlignment="1">
      <alignment horizontal="left" vertical="top" wrapText="1"/>
    </xf>
    <xf numFmtId="0" fontId="125" fillId="0" borderId="160" xfId="0" applyFont="1" applyBorder="1" applyAlignment="1">
      <alignment horizontal="left" vertical="top" wrapText="1"/>
    </xf>
    <xf numFmtId="0" fontId="203" fillId="0" borderId="161" xfId="2" applyFont="1" applyBorder="1" applyAlignment="1" applyProtection="1">
      <alignment horizontal="center" vertical="center" wrapText="1"/>
      <protection locked="0"/>
    </xf>
    <xf numFmtId="0" fontId="203" fillId="0" borderId="160" xfId="2" applyFont="1" applyBorder="1" applyAlignment="1" applyProtection="1">
      <alignment horizontal="center" vertical="center" wrapText="1"/>
      <protection locked="0"/>
    </xf>
    <xf numFmtId="167" fontId="115" fillId="28" borderId="190" xfId="0" applyNumberFormat="1" applyFont="1" applyFill="1" applyBorder="1" applyAlignment="1">
      <alignment horizontal="center" vertical="center" wrapText="1"/>
    </xf>
    <xf numFmtId="167" fontId="115" fillId="28" borderId="192" xfId="0" applyNumberFormat="1" applyFont="1" applyFill="1" applyBorder="1" applyAlignment="1">
      <alignment horizontal="center" vertical="center" wrapText="1"/>
    </xf>
    <xf numFmtId="167" fontId="115" fillId="28" borderId="191" xfId="0" applyNumberFormat="1" applyFont="1" applyFill="1" applyBorder="1" applyAlignment="1">
      <alignment horizontal="center" vertical="center" wrapText="1"/>
    </xf>
    <xf numFmtId="4" fontId="115" fillId="28" borderId="190" xfId="0" applyNumberFormat="1" applyFont="1" applyFill="1" applyBorder="1" applyAlignment="1">
      <alignment horizontal="center" vertical="center" wrapText="1"/>
    </xf>
    <xf numFmtId="4" fontId="115" fillId="28" borderId="192" xfId="0" applyNumberFormat="1" applyFont="1" applyFill="1" applyBorder="1" applyAlignment="1">
      <alignment horizontal="center" vertical="center" wrapText="1"/>
    </xf>
    <xf numFmtId="4" fontId="115" fillId="28" borderId="191" xfId="0" applyNumberFormat="1" applyFont="1" applyFill="1" applyBorder="1" applyAlignment="1">
      <alignment horizontal="center" vertical="center" wrapText="1"/>
    </xf>
    <xf numFmtId="0" fontId="195" fillId="0" borderId="190" xfId="0" applyFont="1" applyBorder="1" applyAlignment="1">
      <alignment horizontal="left" vertical="center"/>
    </xf>
    <xf numFmtId="0" fontId="195" fillId="0" borderId="191" xfId="0" applyFont="1" applyBorder="1" applyAlignment="1">
      <alignment horizontal="left" vertical="center"/>
    </xf>
    <xf numFmtId="0" fontId="195" fillId="0" borderId="190" xfId="0" applyFont="1" applyBorder="1" applyAlignment="1">
      <alignment horizontal="left" vertical="center" wrapText="1"/>
    </xf>
    <xf numFmtId="0" fontId="195" fillId="0" borderId="191" xfId="0" applyFont="1" applyBorder="1" applyAlignment="1">
      <alignment horizontal="left" vertical="center" wrapText="1"/>
    </xf>
    <xf numFmtId="0" fontId="50" fillId="35" borderId="0" xfId="0" applyFont="1" applyFill="1" applyAlignment="1">
      <alignment horizontal="left" vertical="center"/>
    </xf>
    <xf numFmtId="0" fontId="114" fillId="39" borderId="189" xfId="0" applyFont="1" applyFill="1" applyBorder="1" applyAlignment="1">
      <alignment horizontal="center" vertical="center" wrapText="1"/>
    </xf>
    <xf numFmtId="0" fontId="118" fillId="28" borderId="189" xfId="0" applyFont="1" applyFill="1" applyBorder="1" applyAlignment="1" applyProtection="1">
      <alignment horizontal="center" vertical="center" wrapText="1"/>
      <protection locked="0"/>
    </xf>
    <xf numFmtId="0" fontId="118" fillId="28" borderId="190" xfId="0" applyFont="1" applyFill="1" applyBorder="1" applyAlignment="1" applyProtection="1">
      <alignment horizontal="center" vertical="center" wrapText="1"/>
      <protection locked="0"/>
    </xf>
    <xf numFmtId="0" fontId="118" fillId="28" borderId="191" xfId="0" applyFont="1" applyFill="1" applyBorder="1" applyAlignment="1" applyProtection="1">
      <alignment horizontal="center" vertical="center" wrapText="1"/>
      <protection locked="0"/>
    </xf>
    <xf numFmtId="0" fontId="124" fillId="0" borderId="189" xfId="0" applyFont="1" applyBorder="1" applyAlignment="1">
      <alignment horizontal="center" vertical="center" wrapText="1"/>
    </xf>
    <xf numFmtId="0" fontId="114" fillId="4" borderId="189" xfId="0" applyFont="1" applyFill="1" applyBorder="1" applyAlignment="1">
      <alignment horizontal="center" vertical="center" wrapText="1"/>
    </xf>
    <xf numFmtId="167" fontId="121" fillId="28" borderId="190" xfId="0" applyNumberFormat="1" applyFont="1" applyFill="1" applyBorder="1" applyAlignment="1">
      <alignment horizontal="center" vertical="center" wrapText="1"/>
    </xf>
    <xf numFmtId="167" fontId="121" fillId="28" borderId="192" xfId="0" applyNumberFormat="1" applyFont="1" applyFill="1" applyBorder="1" applyAlignment="1">
      <alignment horizontal="center" vertical="center" wrapText="1"/>
    </xf>
    <xf numFmtId="167" fontId="121" fillId="28" borderId="191" xfId="0" applyNumberFormat="1" applyFont="1" applyFill="1" applyBorder="1" applyAlignment="1">
      <alignment horizontal="center" vertical="center" wrapText="1"/>
    </xf>
    <xf numFmtId="0" fontId="114" fillId="28" borderId="190" xfId="0" applyFont="1" applyFill="1" applyBorder="1" applyAlignment="1">
      <alignment horizontal="center" vertical="center" wrapText="1"/>
    </xf>
    <xf numFmtId="0" fontId="114" fillId="28" borderId="191" xfId="0" applyFont="1" applyFill="1" applyBorder="1" applyAlignment="1">
      <alignment horizontal="center" vertical="center" wrapText="1"/>
    </xf>
    <xf numFmtId="0" fontId="115" fillId="0" borderId="190" xfId="0" applyFont="1" applyBorder="1" applyAlignment="1">
      <alignment horizontal="left" vertical="center" wrapText="1"/>
    </xf>
    <xf numFmtId="0" fontId="115" fillId="0" borderId="191" xfId="0" applyFont="1" applyBorder="1" applyAlignment="1">
      <alignment horizontal="left" vertical="center" wrapText="1"/>
    </xf>
    <xf numFmtId="0" fontId="217" fillId="20" borderId="190" xfId="0" applyFont="1" applyFill="1" applyBorder="1" applyAlignment="1" applyProtection="1">
      <alignment horizontal="left" vertical="center" wrapText="1"/>
      <protection locked="0"/>
    </xf>
    <xf numFmtId="0" fontId="217" fillId="20" borderId="191" xfId="0" applyFont="1" applyFill="1" applyBorder="1" applyAlignment="1" applyProtection="1">
      <alignment horizontal="left" vertical="center" wrapText="1"/>
      <protection locked="0"/>
    </xf>
    <xf numFmtId="0" fontId="55" fillId="0" borderId="0" xfId="0" applyFont="1" applyAlignment="1">
      <alignment horizontal="left" vertical="center" wrapText="1"/>
    </xf>
    <xf numFmtId="0" fontId="124" fillId="0" borderId="85" xfId="0" applyFont="1" applyBorder="1" applyAlignment="1">
      <alignment horizontal="left" vertical="center" wrapText="1"/>
    </xf>
    <xf numFmtId="0" fontId="112" fillId="0" borderId="0" xfId="0" applyFont="1" applyAlignment="1">
      <alignment horizontal="left" vertical="center" wrapText="1"/>
    </xf>
    <xf numFmtId="0" fontId="114" fillId="17" borderId="189" xfId="0" applyFont="1" applyFill="1" applyBorder="1" applyAlignment="1">
      <alignment horizontal="center" vertical="center" wrapText="1"/>
    </xf>
    <xf numFmtId="0" fontId="114" fillId="36" borderId="189" xfId="0" applyFont="1" applyFill="1" applyBorder="1" applyAlignment="1">
      <alignment horizontal="center" vertical="center" wrapText="1"/>
    </xf>
    <xf numFmtId="0" fontId="120" fillId="28" borderId="189" xfId="0" applyFont="1" applyFill="1" applyBorder="1" applyAlignment="1">
      <alignment horizontal="left" vertical="center" wrapText="1"/>
    </xf>
    <xf numFmtId="0" fontId="114" fillId="28" borderId="189" xfId="0" applyFont="1" applyFill="1" applyBorder="1" applyAlignment="1">
      <alignment horizontal="center" vertical="center" wrapText="1"/>
    </xf>
    <xf numFmtId="0" fontId="120" fillId="28" borderId="190" xfId="0" applyFont="1" applyFill="1" applyBorder="1" applyAlignment="1">
      <alignment horizontal="left" vertical="center" wrapText="1"/>
    </xf>
    <xf numFmtId="0" fontId="120" fillId="28" borderId="191" xfId="0" applyFont="1" applyFill="1" applyBorder="1" applyAlignment="1">
      <alignment horizontal="left" vertical="center" wrapText="1"/>
    </xf>
    <xf numFmtId="0" fontId="123" fillId="35" borderId="0" xfId="0" applyFont="1" applyFill="1" applyAlignment="1">
      <alignment horizontal="center" vertical="center"/>
    </xf>
    <xf numFmtId="0" fontId="46" fillId="28" borderId="189" xfId="0" applyFont="1" applyFill="1" applyBorder="1" applyAlignment="1">
      <alignment horizontal="center" vertical="center" wrapText="1"/>
    </xf>
    <xf numFmtId="0" fontId="117" fillId="28" borderId="189" xfId="0" applyFont="1" applyFill="1" applyBorder="1" applyAlignment="1">
      <alignment horizontal="left" vertical="center" wrapText="1"/>
    </xf>
    <xf numFmtId="0" fontId="203" fillId="0" borderId="159" xfId="2" applyFont="1" applyBorder="1" applyAlignment="1" applyProtection="1">
      <alignment horizontal="center" vertical="center" wrapText="1"/>
      <protection locked="0"/>
    </xf>
    <xf numFmtId="0" fontId="121" fillId="0" borderId="76" xfId="0" applyFont="1" applyBorder="1" applyAlignment="1">
      <alignment horizontal="center" vertical="center" wrapText="1"/>
    </xf>
    <xf numFmtId="0" fontId="200" fillId="45" borderId="159" xfId="0" applyFont="1" applyFill="1" applyBorder="1" applyAlignment="1" applyProtection="1">
      <alignment horizontal="left" vertical="center" wrapText="1"/>
      <protection locked="0"/>
    </xf>
    <xf numFmtId="0" fontId="200" fillId="45" borderId="161" xfId="0" applyFont="1" applyFill="1" applyBorder="1" applyAlignment="1" applyProtection="1">
      <alignment horizontal="left" vertical="center" wrapText="1"/>
      <protection locked="0"/>
    </xf>
    <xf numFmtId="0" fontId="200" fillId="45" borderId="160" xfId="0" applyFont="1" applyFill="1" applyBorder="1" applyAlignment="1" applyProtection="1">
      <alignment horizontal="left" vertical="center" wrapText="1"/>
      <protection locked="0"/>
    </xf>
    <xf numFmtId="0" fontId="125" fillId="0" borderId="141" xfId="0" applyFont="1" applyBorder="1" applyAlignment="1">
      <alignment horizontal="left" vertical="top" wrapText="1"/>
    </xf>
    <xf numFmtId="0" fontId="118" fillId="28" borderId="190" xfId="0" applyFont="1" applyFill="1" applyBorder="1" applyAlignment="1">
      <alignment horizontal="center" vertical="center" wrapText="1"/>
    </xf>
    <xf numFmtId="0" fontId="118" fillId="28" borderId="191" xfId="0" applyFont="1" applyFill="1" applyBorder="1" applyAlignment="1">
      <alignment horizontal="center" vertical="center" wrapText="1"/>
    </xf>
    <xf numFmtId="0" fontId="59" fillId="4" borderId="0" xfId="0" applyFont="1" applyFill="1" applyAlignment="1">
      <alignment horizontal="left" vertical="center"/>
    </xf>
    <xf numFmtId="0" fontId="89" fillId="20" borderId="4" xfId="0" applyFont="1" applyFill="1" applyBorder="1" applyAlignment="1" applyProtection="1">
      <alignment horizontal="center" vertical="center" wrapText="1"/>
      <protection locked="0"/>
    </xf>
    <xf numFmtId="0" fontId="89" fillId="20" borderId="5" xfId="0" applyFont="1" applyFill="1" applyBorder="1" applyAlignment="1" applyProtection="1">
      <alignment horizontal="center" vertical="center" wrapText="1"/>
      <protection locked="0"/>
    </xf>
    <xf numFmtId="0" fontId="53" fillId="0" borderId="110" xfId="0" applyFont="1" applyBorder="1" applyAlignment="1">
      <alignment horizontal="left" vertical="top" wrapText="1"/>
    </xf>
    <xf numFmtId="0" fontId="59" fillId="4" borderId="42" xfId="0" applyFont="1" applyFill="1" applyBorder="1" applyAlignment="1">
      <alignment horizontal="left" vertical="center"/>
    </xf>
    <xf numFmtId="0" fontId="170" fillId="45" borderId="105" xfId="0" applyFont="1" applyFill="1" applyBorder="1" applyAlignment="1" applyProtection="1">
      <alignment horizontal="center" vertical="center" wrapText="1"/>
      <protection locked="0"/>
    </xf>
    <xf numFmtId="0" fontId="170" fillId="45" borderId="106" xfId="0" applyFont="1" applyFill="1" applyBorder="1" applyAlignment="1" applyProtection="1">
      <alignment horizontal="center" vertical="center" wrapText="1"/>
      <protection locked="0"/>
    </xf>
    <xf numFmtId="0" fontId="89" fillId="0" borderId="107" xfId="0" applyFont="1" applyBorder="1" applyAlignment="1">
      <alignment horizontal="left" vertical="center" wrapText="1"/>
    </xf>
    <xf numFmtId="0" fontId="89" fillId="0" borderId="108" xfId="0" applyFont="1" applyBorder="1" applyAlignment="1">
      <alignment horizontal="left" vertical="center" wrapText="1"/>
    </xf>
    <xf numFmtId="0" fontId="89" fillId="0" borderId="109" xfId="0" applyFont="1" applyBorder="1" applyAlignment="1">
      <alignment horizontal="left" vertical="center" wrapText="1"/>
    </xf>
    <xf numFmtId="0" fontId="89" fillId="0" borderId="99" xfId="0" applyFont="1" applyBorder="1" applyAlignment="1">
      <alignment horizontal="left" vertical="center" wrapText="1"/>
    </xf>
    <xf numFmtId="0" fontId="89" fillId="0" borderId="0" xfId="0" applyFont="1" applyAlignment="1">
      <alignment horizontal="left" vertical="center" wrapText="1"/>
    </xf>
    <xf numFmtId="0" fontId="89" fillId="0" borderId="100" xfId="0" applyFont="1" applyBorder="1" applyAlignment="1">
      <alignment horizontal="left" vertical="center" wrapText="1"/>
    </xf>
    <xf numFmtId="0" fontId="89" fillId="0" borderId="101" xfId="0" applyFont="1" applyBorder="1" applyAlignment="1">
      <alignment horizontal="left" vertical="center" wrapText="1"/>
    </xf>
    <xf numFmtId="0" fontId="89" fillId="0" borderId="102" xfId="0" applyFont="1" applyBorder="1" applyAlignment="1">
      <alignment horizontal="left" vertical="center" wrapText="1"/>
    </xf>
    <xf numFmtId="0" fontId="89" fillId="0" borderId="103" xfId="0" applyFont="1" applyBorder="1" applyAlignment="1">
      <alignment horizontal="left" vertical="center" wrapText="1"/>
    </xf>
    <xf numFmtId="0" fontId="107" fillId="28" borderId="5" xfId="0" applyFont="1" applyFill="1" applyBorder="1" applyAlignment="1">
      <alignment horizontal="center" vertical="center" wrapText="1"/>
    </xf>
    <xf numFmtId="0" fontId="107" fillId="28" borderId="6" xfId="0" applyFont="1" applyFill="1" applyBorder="1" applyAlignment="1">
      <alignment horizontal="center" vertical="center" wrapText="1"/>
    </xf>
    <xf numFmtId="0" fontId="171" fillId="45" borderId="163" xfId="0" applyFont="1" applyFill="1" applyBorder="1" applyAlignment="1">
      <alignment horizontal="left" vertical="center" wrapText="1"/>
    </xf>
    <xf numFmtId="0" fontId="171" fillId="45" borderId="164" xfId="0" applyFont="1" applyFill="1" applyBorder="1" applyAlignment="1">
      <alignment horizontal="left" vertical="center" wrapText="1"/>
    </xf>
    <xf numFmtId="0" fontId="171" fillId="45" borderId="165" xfId="0" applyFont="1" applyFill="1" applyBorder="1" applyAlignment="1">
      <alignment horizontal="left" vertical="center" wrapText="1"/>
    </xf>
    <xf numFmtId="0" fontId="53" fillId="0" borderId="120" xfId="0" applyFont="1" applyBorder="1" applyAlignment="1">
      <alignment horizontal="left" vertical="top" wrapText="1"/>
    </xf>
    <xf numFmtId="0" fontId="53" fillId="0" borderId="121" xfId="0" applyFont="1" applyBorder="1" applyAlignment="1">
      <alignment horizontal="left" vertical="top" wrapText="1"/>
    </xf>
    <xf numFmtId="0" fontId="53" fillId="0" borderId="166" xfId="0" applyFont="1" applyBorder="1" applyAlignment="1">
      <alignment horizontal="left" vertical="top" wrapText="1"/>
    </xf>
    <xf numFmtId="0" fontId="52" fillId="0" borderId="124" xfId="0" applyFont="1" applyBorder="1" applyAlignment="1">
      <alignment horizontal="left" vertical="center" wrapText="1"/>
    </xf>
    <xf numFmtId="0" fontId="52" fillId="0" borderId="0" xfId="0" applyFont="1" applyAlignment="1">
      <alignment horizontal="left" vertical="center" wrapText="1"/>
    </xf>
    <xf numFmtId="0" fontId="52" fillId="0" borderId="169" xfId="0" applyFont="1" applyBorder="1" applyAlignment="1">
      <alignment horizontal="left" vertical="center" wrapText="1"/>
    </xf>
    <xf numFmtId="0" fontId="53" fillId="0" borderId="117" xfId="0" applyFont="1" applyBorder="1" applyAlignment="1">
      <alignment horizontal="left" vertical="top" wrapText="1"/>
    </xf>
    <xf numFmtId="0" fontId="53" fillId="0" borderId="118" xfId="0" applyFont="1" applyBorder="1" applyAlignment="1">
      <alignment horizontal="left" vertical="top" wrapText="1"/>
    </xf>
    <xf numFmtId="0" fontId="53" fillId="0" borderId="167" xfId="0" applyFont="1" applyBorder="1" applyAlignment="1">
      <alignment horizontal="left" vertical="top" wrapText="1"/>
    </xf>
    <xf numFmtId="0" fontId="53" fillId="0" borderId="114" xfId="0" applyFont="1" applyBorder="1" applyAlignment="1">
      <alignment horizontal="left" vertical="top" wrapText="1"/>
    </xf>
    <xf numFmtId="0" fontId="53" fillId="0" borderId="115" xfId="0" applyFont="1" applyBorder="1" applyAlignment="1">
      <alignment horizontal="left" vertical="top" wrapText="1"/>
    </xf>
    <xf numFmtId="0" fontId="53" fillId="0" borderId="116" xfId="0" applyFont="1" applyBorder="1" applyAlignment="1">
      <alignment horizontal="left" vertical="top" wrapText="1"/>
    </xf>
    <xf numFmtId="0" fontId="53" fillId="0" borderId="155" xfId="0" applyFont="1" applyBorder="1" applyAlignment="1">
      <alignment horizontal="left" vertical="top" wrapText="1"/>
    </xf>
    <xf numFmtId="0" fontId="53" fillId="0" borderId="157" xfId="0" applyFont="1" applyBorder="1" applyAlignment="1">
      <alignment horizontal="left" vertical="top" wrapText="1"/>
    </xf>
    <xf numFmtId="0" fontId="53" fillId="0" borderId="158" xfId="0" applyFont="1" applyBorder="1" applyAlignment="1">
      <alignment horizontal="left" vertical="top" wrapText="1"/>
    </xf>
    <xf numFmtId="0" fontId="59" fillId="0" borderId="261" xfId="0" applyFont="1" applyBorder="1" applyAlignment="1">
      <alignment horizontal="center" vertical="center"/>
    </xf>
    <xf numFmtId="0" fontId="107" fillId="28" borderId="0" xfId="0" applyFont="1" applyFill="1" applyAlignment="1">
      <alignment horizontal="center" vertical="center" wrapText="1"/>
    </xf>
    <xf numFmtId="0" fontId="107" fillId="28" borderId="9" xfId="0" applyFont="1" applyFill="1" applyBorder="1" applyAlignment="1">
      <alignment horizontal="center" vertical="center" wrapText="1"/>
    </xf>
    <xf numFmtId="0" fontId="171" fillId="45" borderId="99" xfId="0" applyFont="1" applyFill="1" applyBorder="1" applyAlignment="1">
      <alignment horizontal="left" vertical="center" wrapText="1"/>
    </xf>
    <xf numFmtId="0" fontId="171" fillId="45" borderId="0" xfId="0" applyFont="1" applyFill="1" applyAlignment="1">
      <alignment horizontal="left" vertical="center" wrapText="1"/>
    </xf>
    <xf numFmtId="0" fontId="55" fillId="0" borderId="45" xfId="0" applyFont="1" applyBorder="1" applyAlignment="1">
      <alignment horizontal="left" vertical="center" wrapText="1"/>
    </xf>
    <xf numFmtId="0" fontId="46" fillId="0" borderId="0" xfId="0" applyFont="1" applyAlignment="1">
      <alignment horizontal="center" vertical="center" wrapText="1"/>
    </xf>
    <xf numFmtId="0" fontId="178" fillId="0" borderId="111" xfId="0" applyFont="1" applyBorder="1" applyAlignment="1">
      <alignment horizontal="right" vertical="top" wrapText="1"/>
    </xf>
    <xf numFmtId="0" fontId="178" fillId="0" borderId="113" xfId="0" applyFont="1" applyBorder="1" applyAlignment="1">
      <alignment horizontal="right" vertical="top" wrapText="1"/>
    </xf>
    <xf numFmtId="0" fontId="180" fillId="0" borderId="115" xfId="2" applyFont="1" applyBorder="1" applyAlignment="1" applyProtection="1">
      <alignment horizontal="left" vertical="top" wrapText="1"/>
      <protection locked="0"/>
    </xf>
    <xf numFmtId="0" fontId="180" fillId="0" borderId="116" xfId="2" applyFont="1" applyBorder="1" applyAlignment="1" applyProtection="1">
      <alignment horizontal="left" vertical="top" wrapText="1"/>
      <protection locked="0"/>
    </xf>
    <xf numFmtId="0" fontId="89" fillId="20" borderId="66" xfId="0" applyFont="1" applyFill="1" applyBorder="1" applyAlignment="1" applyProtection="1">
      <alignment horizontal="center" vertical="center" wrapText="1"/>
      <protection locked="0"/>
    </xf>
    <xf numFmtId="0" fontId="89" fillId="20" borderId="0" xfId="0" applyFont="1" applyFill="1" applyAlignment="1" applyProtection="1">
      <alignment horizontal="center" vertical="center" wrapText="1"/>
      <protection locked="0"/>
    </xf>
    <xf numFmtId="0" fontId="178" fillId="0" borderId="111" xfId="0" applyFont="1" applyBorder="1" applyAlignment="1">
      <alignment horizontal="center" vertical="top" wrapText="1"/>
    </xf>
    <xf numFmtId="0" fontId="178" fillId="0" borderId="112" xfId="0" applyFont="1" applyBorder="1" applyAlignment="1">
      <alignment horizontal="center" vertical="top" wrapText="1"/>
    </xf>
    <xf numFmtId="0" fontId="178" fillId="0" borderId="113" xfId="0" applyFont="1" applyBorder="1" applyAlignment="1">
      <alignment horizontal="center" vertical="top" wrapText="1"/>
    </xf>
    <xf numFmtId="0" fontId="87" fillId="0" borderId="0" xfId="0" applyFont="1" applyAlignment="1">
      <alignment horizontal="left" vertical="center"/>
    </xf>
    <xf numFmtId="0" fontId="53" fillId="0" borderId="114" xfId="0" applyFont="1" applyBorder="1" applyAlignment="1">
      <alignment horizontal="left" vertical="center" wrapText="1"/>
    </xf>
    <xf numFmtId="0" fontId="53" fillId="0" borderId="115" xfId="0" applyFont="1" applyBorder="1" applyAlignment="1">
      <alignment horizontal="left" vertical="center" wrapText="1"/>
    </xf>
    <xf numFmtId="0" fontId="53" fillId="0" borderId="116" xfId="0" applyFont="1" applyBorder="1" applyAlignment="1">
      <alignment horizontal="left" vertical="center" wrapText="1"/>
    </xf>
    <xf numFmtId="0" fontId="53" fillId="0" borderId="120" xfId="0" applyFont="1" applyBorder="1" applyAlignment="1">
      <alignment horizontal="left" vertical="center" wrapText="1"/>
    </xf>
    <xf numFmtId="0" fontId="53" fillId="0" borderId="121" xfId="0" applyFont="1" applyBorder="1" applyAlignment="1">
      <alignment horizontal="left" vertical="center" wrapText="1"/>
    </xf>
    <xf numFmtId="0" fontId="53" fillId="0" borderId="122" xfId="0" applyFont="1" applyBorder="1" applyAlignment="1">
      <alignment horizontal="left" vertical="center" wrapText="1"/>
    </xf>
    <xf numFmtId="0" fontId="52" fillId="0" borderId="117" xfId="0" applyFont="1" applyBorder="1" applyAlignment="1">
      <alignment horizontal="left" vertical="center" wrapText="1"/>
    </xf>
    <xf numFmtId="0" fontId="52" fillId="0" borderId="118" xfId="0" applyFont="1" applyBorder="1" applyAlignment="1">
      <alignment horizontal="left" vertical="center" wrapText="1"/>
    </xf>
    <xf numFmtId="0" fontId="52" fillId="0" borderId="119" xfId="0" applyFont="1" applyBorder="1" applyAlignment="1">
      <alignment horizontal="left" vertical="center" wrapText="1"/>
    </xf>
    <xf numFmtId="0" fontId="178" fillId="0" borderId="112" xfId="0" applyFont="1" applyBorder="1" applyAlignment="1">
      <alignment horizontal="right" vertical="top" wrapText="1"/>
    </xf>
    <xf numFmtId="0" fontId="52" fillId="0" borderId="123" xfId="0" applyFont="1" applyBorder="1" applyAlignment="1">
      <alignment horizontal="left" vertical="center" wrapText="1"/>
    </xf>
    <xf numFmtId="0" fontId="52" fillId="0" borderId="124" xfId="0" applyFont="1" applyBorder="1" applyAlignment="1">
      <alignment horizontal="left" vertical="top" wrapText="1"/>
    </xf>
    <xf numFmtId="0" fontId="52" fillId="0" borderId="0" xfId="0" applyFont="1" applyAlignment="1">
      <alignment horizontal="left" vertical="top" wrapText="1"/>
    </xf>
    <xf numFmtId="0" fontId="52" fillId="0" borderId="123" xfId="0" applyFont="1" applyBorder="1" applyAlignment="1">
      <alignment horizontal="left" vertical="top" wrapText="1"/>
    </xf>
    <xf numFmtId="0" fontId="53" fillId="0" borderId="124" xfId="0" applyFont="1" applyBorder="1" applyAlignment="1">
      <alignment horizontal="left" vertical="center" wrapText="1"/>
    </xf>
    <xf numFmtId="0" fontId="53" fillId="0" borderId="123" xfId="0" applyFont="1" applyBorder="1" applyAlignment="1">
      <alignment horizontal="left" vertical="center" wrapText="1"/>
    </xf>
    <xf numFmtId="0" fontId="53" fillId="0" borderId="117" xfId="0" applyFont="1" applyBorder="1" applyAlignment="1">
      <alignment horizontal="left" vertical="center" wrapText="1"/>
    </xf>
    <xf numFmtId="0" fontId="53" fillId="0" borderId="118" xfId="0" applyFont="1" applyBorder="1" applyAlignment="1">
      <alignment horizontal="left" vertical="center" wrapText="1"/>
    </xf>
    <xf numFmtId="0" fontId="53" fillId="0" borderId="119" xfId="0" applyFont="1" applyBorder="1" applyAlignment="1">
      <alignment horizontal="left" vertical="center" wrapText="1"/>
    </xf>
    <xf numFmtId="0" fontId="53" fillId="0" borderId="122" xfId="0" applyFont="1" applyBorder="1" applyAlignment="1">
      <alignment horizontal="left" vertical="top" wrapText="1"/>
    </xf>
    <xf numFmtId="0" fontId="77" fillId="0" borderId="0" xfId="0" applyFont="1" applyAlignment="1">
      <alignment horizontal="left" vertical="center" wrapText="1"/>
    </xf>
    <xf numFmtId="0" fontId="107" fillId="28" borderId="6" xfId="0" applyFont="1" applyFill="1" applyBorder="1" applyAlignment="1">
      <alignment horizontal="left" vertical="center" wrapText="1"/>
    </xf>
    <xf numFmtId="0" fontId="107" fillId="28" borderId="7" xfId="0" applyFont="1" applyFill="1" applyBorder="1" applyAlignment="1">
      <alignment horizontal="left" vertical="center" wrapText="1"/>
    </xf>
    <xf numFmtId="0" fontId="112" fillId="20" borderId="7" xfId="0" applyFont="1" applyFill="1" applyBorder="1" applyAlignment="1" applyProtection="1">
      <alignment horizontal="center" vertical="center" wrapText="1"/>
      <protection locked="0"/>
    </xf>
    <xf numFmtId="0" fontId="112" fillId="20" borderId="4" xfId="0" applyFont="1" applyFill="1" applyBorder="1" applyAlignment="1" applyProtection="1">
      <alignment horizontal="center" vertical="center" wrapText="1"/>
      <protection locked="0"/>
    </xf>
    <xf numFmtId="0" fontId="55" fillId="0" borderId="6" xfId="0" applyFont="1" applyBorder="1" applyAlignment="1">
      <alignment horizontal="left" vertical="center" wrapText="1"/>
    </xf>
    <xf numFmtId="0" fontId="55" fillId="0" borderId="7" xfId="0" applyFont="1" applyBorder="1" applyAlignment="1">
      <alignment horizontal="left" vertical="center" wrapText="1"/>
    </xf>
    <xf numFmtId="0" fontId="84" fillId="31" borderId="0" xfId="0" applyFont="1" applyFill="1" applyAlignment="1">
      <alignment horizontal="center" vertical="center" wrapText="1"/>
    </xf>
    <xf numFmtId="0" fontId="23" fillId="0" borderId="0" xfId="0" applyFont="1" applyAlignment="1">
      <alignment horizontal="center"/>
    </xf>
    <xf numFmtId="0" fontId="107" fillId="28" borderId="68" xfId="0" applyFont="1" applyFill="1" applyBorder="1" applyAlignment="1">
      <alignment horizontal="center" vertical="center" wrapText="1"/>
    </xf>
    <xf numFmtId="0" fontId="107" fillId="28" borderId="13" xfId="0" applyFont="1" applyFill="1" applyBorder="1" applyAlignment="1">
      <alignment horizontal="center" vertical="center" wrapText="1"/>
    </xf>
    <xf numFmtId="0" fontId="89" fillId="0" borderId="0" xfId="0" applyFont="1" applyAlignment="1">
      <alignment vertical="center" wrapText="1"/>
    </xf>
    <xf numFmtId="0" fontId="55" fillId="0" borderId="0" xfId="0" applyFont="1" applyAlignment="1">
      <alignment vertical="center" wrapText="1"/>
    </xf>
    <xf numFmtId="167" fontId="39" fillId="0" borderId="0" xfId="0" applyNumberFormat="1" applyFont="1" applyAlignment="1">
      <alignment horizontal="center" vertical="center"/>
    </xf>
    <xf numFmtId="0" fontId="89" fillId="0" borderId="4" xfId="0" applyFont="1" applyBorder="1" applyAlignment="1" applyProtection="1">
      <alignment horizontal="center" vertical="center" wrapText="1"/>
      <protection locked="0"/>
    </xf>
    <xf numFmtId="0" fontId="89" fillId="0" borderId="5" xfId="0" applyFont="1" applyBorder="1" applyAlignment="1" applyProtection="1">
      <alignment horizontal="center" vertical="center" wrapText="1"/>
      <protection locked="0"/>
    </xf>
    <xf numFmtId="0" fontId="55" fillId="0" borderId="121" xfId="0" applyFont="1" applyBorder="1" applyAlignment="1">
      <alignment horizontal="center" vertical="center" wrapText="1"/>
    </xf>
    <xf numFmtId="0" fontId="49" fillId="4" borderId="0" xfId="0" applyFont="1" applyFill="1" applyAlignment="1">
      <alignment horizontal="left" vertical="center"/>
    </xf>
    <xf numFmtId="0" fontId="171" fillId="45" borderId="133" xfId="0" applyFont="1" applyFill="1" applyBorder="1" applyAlignment="1">
      <alignment horizontal="left" vertical="center" wrapText="1"/>
    </xf>
    <xf numFmtId="0" fontId="171" fillId="45" borderId="118" xfId="0" applyFont="1" applyFill="1" applyBorder="1" applyAlignment="1">
      <alignment horizontal="left" vertical="center" wrapText="1"/>
    </xf>
    <xf numFmtId="0" fontId="89" fillId="0" borderId="10" xfId="0" applyFont="1" applyBorder="1" applyAlignment="1" applyProtection="1">
      <alignment horizontal="center" vertical="center" wrapText="1"/>
      <protection locked="0"/>
    </xf>
    <xf numFmtId="0" fontId="89" fillId="0" borderId="67" xfId="0" applyFont="1" applyBorder="1" applyAlignment="1" applyProtection="1">
      <alignment horizontal="center" vertical="center" wrapText="1"/>
      <protection locked="0"/>
    </xf>
    <xf numFmtId="0" fontId="180" fillId="0" borderId="115" xfId="2" applyFont="1" applyBorder="1" applyAlignment="1" applyProtection="1">
      <alignment horizontal="left" vertical="top" wrapText="1"/>
    </xf>
    <xf numFmtId="0" fontId="180" fillId="0" borderId="116" xfId="2" applyFont="1" applyBorder="1" applyAlignment="1" applyProtection="1">
      <alignment horizontal="left" vertical="top" wrapText="1"/>
    </xf>
    <xf numFmtId="0" fontId="41" fillId="0" borderId="0" xfId="0" applyFont="1" applyAlignment="1">
      <alignment horizontal="center" vertical="center" wrapText="1"/>
    </xf>
    <xf numFmtId="0" fontId="39" fillId="0" borderId="0" xfId="0" applyFont="1" applyAlignment="1">
      <alignment horizontal="center" vertical="center"/>
    </xf>
    <xf numFmtId="0" fontId="89" fillId="20" borderId="10" xfId="0" applyFont="1" applyFill="1" applyBorder="1" applyAlignment="1" applyProtection="1">
      <alignment horizontal="center" vertical="center" wrapText="1"/>
      <protection locked="0"/>
    </xf>
    <xf numFmtId="0" fontId="89" fillId="20" borderId="67" xfId="0" applyFont="1" applyFill="1" applyBorder="1" applyAlignment="1" applyProtection="1">
      <alignment horizontal="center" vertical="center" wrapText="1"/>
      <protection locked="0"/>
    </xf>
    <xf numFmtId="0" fontId="107" fillId="28" borderId="4" xfId="0" applyFont="1" applyFill="1" applyBorder="1" applyAlignment="1">
      <alignment horizontal="left" vertical="center" wrapText="1"/>
    </xf>
    <xf numFmtId="0" fontId="107" fillId="28" borderId="5" xfId="0" applyFont="1" applyFill="1" applyBorder="1" applyAlignment="1">
      <alignment horizontal="left" vertical="center" wrapText="1"/>
    </xf>
    <xf numFmtId="0" fontId="171" fillId="45" borderId="142" xfId="0" applyFont="1" applyFill="1" applyBorder="1" applyAlignment="1">
      <alignment horizontal="left" vertical="center" wrapText="1"/>
    </xf>
    <xf numFmtId="0" fontId="171" fillId="45" borderId="143" xfId="0" applyFont="1" applyFill="1" applyBorder="1" applyAlignment="1">
      <alignment horizontal="left" vertical="center" wrapText="1"/>
    </xf>
    <xf numFmtId="0" fontId="171" fillId="45" borderId="144" xfId="0" applyFont="1" applyFill="1" applyBorder="1" applyAlignment="1">
      <alignment horizontal="left" vertical="center" wrapText="1"/>
    </xf>
    <xf numFmtId="0" fontId="107" fillId="28" borderId="68" xfId="0" applyFont="1" applyFill="1" applyBorder="1" applyAlignment="1" applyProtection="1">
      <alignment horizontal="center" vertical="center" wrapText="1"/>
      <protection locked="0"/>
    </xf>
    <xf numFmtId="0" fontId="107" fillId="28" borderId="13" xfId="0" applyFont="1" applyFill="1" applyBorder="1" applyAlignment="1" applyProtection="1">
      <alignment horizontal="center" vertical="center" wrapText="1"/>
      <protection locked="0"/>
    </xf>
    <xf numFmtId="0" fontId="99" fillId="31" borderId="0" xfId="0" applyFont="1" applyFill="1" applyAlignment="1">
      <alignment horizontal="center" vertical="center" wrapText="1"/>
    </xf>
    <xf numFmtId="0" fontId="84" fillId="0" borderId="0" xfId="0" applyFont="1" applyAlignment="1">
      <alignment horizontal="center" vertical="center" wrapText="1"/>
    </xf>
    <xf numFmtId="0" fontId="59" fillId="0" borderId="0" xfId="0" applyFont="1" applyAlignment="1">
      <alignment horizontal="left" vertical="center"/>
    </xf>
    <xf numFmtId="0" fontId="89" fillId="0" borderId="0" xfId="0" applyFont="1" applyAlignment="1">
      <alignment horizontal="center" vertical="center" wrapText="1"/>
    </xf>
    <xf numFmtId="0" fontId="52" fillId="0" borderId="117" xfId="0" applyFont="1" applyBorder="1" applyAlignment="1">
      <alignment horizontal="left" vertical="top" wrapText="1"/>
    </xf>
    <xf numFmtId="0" fontId="52" fillId="0" borderId="118" xfId="0" applyFont="1" applyBorder="1" applyAlignment="1">
      <alignment horizontal="left" vertical="top" wrapText="1"/>
    </xf>
    <xf numFmtId="0" fontId="52" fillId="0" borderId="119" xfId="0" applyFont="1" applyBorder="1" applyAlignment="1">
      <alignment horizontal="left" vertical="top" wrapText="1"/>
    </xf>
    <xf numFmtId="0" fontId="178" fillId="0" borderId="154" xfId="0" applyFont="1" applyBorder="1" applyAlignment="1">
      <alignment horizontal="right" vertical="top" wrapText="1"/>
    </xf>
    <xf numFmtId="0" fontId="178" fillId="0" borderId="162" xfId="0" applyFont="1" applyBorder="1" applyAlignment="1">
      <alignment horizontal="right" vertical="top" wrapText="1"/>
    </xf>
    <xf numFmtId="0" fontId="178" fillId="0" borderId="185" xfId="0" applyFont="1" applyBorder="1" applyAlignment="1">
      <alignment horizontal="right" vertical="top" wrapText="1"/>
    </xf>
    <xf numFmtId="0" fontId="53" fillId="0" borderId="184" xfId="0" applyFont="1" applyBorder="1" applyAlignment="1">
      <alignment horizontal="left" vertical="top" wrapText="1"/>
    </xf>
    <xf numFmtId="0" fontId="53" fillId="0" borderId="186" xfId="0" applyFont="1" applyBorder="1" applyAlignment="1">
      <alignment horizontal="left" vertical="top" wrapText="1"/>
    </xf>
    <xf numFmtId="0" fontId="53" fillId="0" borderId="187" xfId="0" applyFont="1" applyBorder="1" applyAlignment="1">
      <alignment horizontal="left" vertical="top" wrapText="1"/>
    </xf>
    <xf numFmtId="0" fontId="53" fillId="0" borderId="188" xfId="0" applyFont="1" applyBorder="1" applyAlignment="1">
      <alignment horizontal="left" vertical="top" wrapText="1"/>
    </xf>
    <xf numFmtId="0" fontId="178" fillId="0" borderId="0" xfId="0" applyFont="1" applyAlignment="1">
      <alignment horizontal="right" vertical="top" wrapText="1"/>
    </xf>
    <xf numFmtId="0" fontId="53" fillId="0" borderId="0" xfId="0" applyFont="1" applyAlignment="1">
      <alignment horizontal="left" vertical="top" wrapText="1"/>
    </xf>
    <xf numFmtId="0" fontId="89" fillId="20" borderId="7" xfId="0" applyFont="1" applyFill="1" applyBorder="1" applyAlignment="1" applyProtection="1">
      <alignment horizontal="center" vertical="center" wrapText="1"/>
      <protection locked="0"/>
    </xf>
    <xf numFmtId="0" fontId="54" fillId="0" borderId="0" xfId="0" applyFont="1" applyAlignment="1">
      <alignment horizontal="left" vertical="center" wrapText="1"/>
    </xf>
    <xf numFmtId="0" fontId="3" fillId="20" borderId="10" xfId="0" applyFont="1" applyFill="1" applyBorder="1" applyAlignment="1" applyProtection="1">
      <alignment horizontal="center" vertical="center" wrapText="1"/>
      <protection locked="0"/>
    </xf>
    <xf numFmtId="0" fontId="107" fillId="28" borderId="4" xfId="0" applyFont="1" applyFill="1" applyBorder="1" applyAlignment="1">
      <alignment horizontal="center" vertical="center" wrapText="1"/>
    </xf>
    <xf numFmtId="0" fontId="107" fillId="28" borderId="66" xfId="0" applyFont="1" applyFill="1" applyBorder="1" applyAlignment="1">
      <alignment horizontal="center" vertical="center" wrapText="1"/>
    </xf>
    <xf numFmtId="0" fontId="107" fillId="28" borderId="43" xfId="0" applyFont="1" applyFill="1" applyBorder="1" applyAlignment="1">
      <alignment horizontal="center" vertical="center" wrapText="1"/>
    </xf>
    <xf numFmtId="0" fontId="107" fillId="0" borderId="0" xfId="0" applyFont="1" applyAlignment="1">
      <alignment horizontal="center" vertical="center" wrapText="1"/>
    </xf>
    <xf numFmtId="0" fontId="34" fillId="20" borderId="67" xfId="0" applyFont="1" applyFill="1" applyBorder="1" applyAlignment="1">
      <alignment horizontal="center" vertical="center"/>
    </xf>
    <xf numFmtId="0" fontId="89" fillId="49" borderId="5" xfId="0" applyFont="1" applyFill="1" applyBorder="1" applyAlignment="1" applyProtection="1">
      <alignment horizontal="center" vertical="center" wrapText="1"/>
      <protection locked="0"/>
    </xf>
    <xf numFmtId="0" fontId="214" fillId="28" borderId="10" xfId="0" applyFont="1" applyFill="1" applyBorder="1" applyAlignment="1">
      <alignment horizontal="center" vertical="center" wrapText="1"/>
    </xf>
    <xf numFmtId="0" fontId="214" fillId="28" borderId="67" xfId="0" applyFont="1" applyFill="1" applyBorder="1" applyAlignment="1">
      <alignment horizontal="center" vertical="center" wrapText="1"/>
    </xf>
    <xf numFmtId="0" fontId="124" fillId="28" borderId="0" xfId="0" applyFont="1" applyFill="1" applyAlignment="1">
      <alignment horizontal="center" vertical="center" wrapText="1"/>
    </xf>
    <xf numFmtId="0" fontId="124" fillId="28" borderId="9" xfId="0" applyFont="1" applyFill="1" applyBorder="1" applyAlignment="1">
      <alignment horizontal="center" vertical="center" wrapText="1"/>
    </xf>
    <xf numFmtId="0" fontId="89" fillId="0" borderId="66" xfId="0" applyFont="1" applyBorder="1" applyAlignment="1" applyProtection="1">
      <alignment horizontal="center" vertical="center" wrapText="1"/>
      <protection locked="0"/>
    </xf>
    <xf numFmtId="0" fontId="89" fillId="0" borderId="0" xfId="0" applyFont="1" applyAlignment="1" applyProtection="1">
      <alignment horizontal="center" vertical="center" wrapText="1"/>
      <protection locked="0"/>
    </xf>
    <xf numFmtId="0" fontId="0" fillId="0" borderId="253" xfId="0" applyBorder="1" applyAlignment="1">
      <alignment horizontal="center" vertical="center" wrapText="1"/>
    </xf>
    <xf numFmtId="0" fontId="0" fillId="0" borderId="126" xfId="0" applyBorder="1" applyAlignment="1">
      <alignment horizontal="center" vertical="center" wrapText="1"/>
    </xf>
    <xf numFmtId="0" fontId="0" fillId="0" borderId="127" xfId="0" applyBorder="1" applyAlignment="1">
      <alignment horizontal="center" vertical="center" wrapText="1"/>
    </xf>
    <xf numFmtId="0" fontId="46" fillId="0" borderId="255" xfId="0" applyFont="1" applyBorder="1" applyAlignment="1">
      <alignment horizontal="center" vertical="top" wrapText="1"/>
    </xf>
    <xf numFmtId="0" fontId="46" fillId="0" borderId="256" xfId="0" applyFont="1" applyBorder="1" applyAlignment="1">
      <alignment horizontal="center" vertical="top" wrapText="1"/>
    </xf>
    <xf numFmtId="0" fontId="46" fillId="0" borderId="258" xfId="0" applyFont="1" applyBorder="1" applyAlignment="1">
      <alignment horizontal="center" vertical="top" wrapText="1"/>
    </xf>
    <xf numFmtId="0" fontId="46" fillId="0" borderId="255" xfId="0" applyFont="1" applyBorder="1" applyAlignment="1">
      <alignment horizontal="center" vertical="center" wrapText="1"/>
    </xf>
    <xf numFmtId="0" fontId="46" fillId="0" borderId="256" xfId="0" applyFont="1" applyBorder="1" applyAlignment="1">
      <alignment horizontal="center" vertical="center" wrapText="1"/>
    </xf>
    <xf numFmtId="0" fontId="46" fillId="0" borderId="258" xfId="0" applyFont="1" applyBorder="1" applyAlignment="1">
      <alignment horizontal="center" vertical="center" wrapText="1"/>
    </xf>
    <xf numFmtId="0" fontId="46" fillId="0" borderId="55" xfId="0" applyFont="1" applyBorder="1" applyAlignment="1">
      <alignment horizontal="left" vertical="center" wrapText="1"/>
    </xf>
    <xf numFmtId="0" fontId="46" fillId="0" borderId="51" xfId="0" applyFont="1" applyBorder="1" applyAlignment="1">
      <alignment horizontal="left" vertical="top" wrapText="1"/>
    </xf>
    <xf numFmtId="0" fontId="46" fillId="0" borderId="55" xfId="0" applyFont="1" applyBorder="1" applyAlignment="1">
      <alignment horizontal="left" vertical="top" wrapText="1"/>
    </xf>
    <xf numFmtId="0" fontId="46" fillId="0" borderId="47" xfId="0" applyFont="1" applyBorder="1" applyAlignment="1">
      <alignment horizontal="left" vertical="top" wrapText="1"/>
    </xf>
    <xf numFmtId="0" fontId="46" fillId="0" borderId="55" xfId="0" applyFont="1" applyBorder="1" applyAlignment="1">
      <alignment horizontal="center" vertical="top" wrapText="1"/>
    </xf>
    <xf numFmtId="0" fontId="46" fillId="29" borderId="51" xfId="0" applyFont="1" applyFill="1" applyBorder="1" applyAlignment="1">
      <alignment horizontal="left" vertical="top" wrapText="1"/>
    </xf>
    <xf numFmtId="0" fontId="46" fillId="29" borderId="55" xfId="0" applyFont="1" applyFill="1" applyBorder="1" applyAlignment="1">
      <alignment horizontal="left" vertical="top" wrapText="1"/>
    </xf>
    <xf numFmtId="0" fontId="124" fillId="41" borderId="218" xfId="0" applyFont="1" applyFill="1" applyBorder="1" applyAlignment="1">
      <alignment horizontal="center" vertical="center" wrapText="1"/>
    </xf>
    <xf numFmtId="0" fontId="124" fillId="41" borderId="219" xfId="0" applyFont="1" applyFill="1" applyBorder="1" applyAlignment="1">
      <alignment horizontal="center" vertical="center" wrapText="1"/>
    </xf>
    <xf numFmtId="0" fontId="152" fillId="40" borderId="79" xfId="0" applyFont="1" applyFill="1" applyBorder="1" applyAlignment="1">
      <alignment horizontal="left" vertical="center"/>
    </xf>
    <xf numFmtId="0" fontId="152" fillId="40" borderId="80" xfId="0" applyFont="1" applyFill="1" applyBorder="1" applyAlignment="1">
      <alignment horizontal="left" vertical="center"/>
    </xf>
    <xf numFmtId="0" fontId="152" fillId="40" borderId="81" xfId="0" applyFont="1" applyFill="1" applyBorder="1" applyAlignment="1">
      <alignment horizontal="left" vertical="center"/>
    </xf>
    <xf numFmtId="0" fontId="152" fillId="35" borderId="153" xfId="0" applyFont="1" applyFill="1" applyBorder="1" applyAlignment="1">
      <alignment horizontal="left" vertical="center"/>
    </xf>
    <xf numFmtId="0" fontId="152" fillId="35" borderId="73" xfId="0" applyFont="1" applyFill="1" applyBorder="1" applyAlignment="1">
      <alignment horizontal="left" vertical="center"/>
    </xf>
    <xf numFmtId="0" fontId="124" fillId="14" borderId="218" xfId="0" applyFont="1" applyFill="1" applyBorder="1" applyAlignment="1">
      <alignment horizontal="center" vertical="center" wrapText="1"/>
    </xf>
    <xf numFmtId="0" fontId="124" fillId="14" borderId="219" xfId="0" applyFont="1" applyFill="1" applyBorder="1" applyAlignment="1">
      <alignment horizontal="center" vertical="center" wrapText="1"/>
    </xf>
    <xf numFmtId="0" fontId="124" fillId="7" borderId="218" xfId="0" applyFont="1" applyFill="1" applyBorder="1" applyAlignment="1">
      <alignment horizontal="center" vertical="center" wrapText="1"/>
    </xf>
    <xf numFmtId="0" fontId="124" fillId="7" borderId="219" xfId="0" applyFont="1" applyFill="1" applyBorder="1" applyAlignment="1">
      <alignment horizontal="center" vertical="center" wrapText="1"/>
    </xf>
    <xf numFmtId="0" fontId="124" fillId="22" borderId="218" xfId="0" applyFont="1" applyFill="1" applyBorder="1" applyAlignment="1">
      <alignment horizontal="center" vertical="center" wrapText="1"/>
    </xf>
    <xf numFmtId="0" fontId="124" fillId="22" borderId="219" xfId="0" applyFont="1" applyFill="1" applyBorder="1" applyAlignment="1">
      <alignment horizontal="center" vertical="center" wrapText="1"/>
    </xf>
    <xf numFmtId="0" fontId="149" fillId="27" borderId="229" xfId="0" applyFont="1" applyFill="1" applyBorder="1" applyAlignment="1">
      <alignment horizontal="left" vertical="center"/>
    </xf>
    <xf numFmtId="0" fontId="149" fillId="27" borderId="228" xfId="0" applyFont="1" applyFill="1" applyBorder="1" applyAlignment="1">
      <alignment horizontal="left" vertical="center"/>
    </xf>
    <xf numFmtId="0" fontId="88" fillId="28" borderId="210" xfId="0" applyFont="1" applyFill="1" applyBorder="1" applyAlignment="1">
      <alignment horizontal="left" vertical="center" wrapText="1"/>
    </xf>
    <xf numFmtId="0" fontId="88" fillId="28" borderId="0" xfId="0" applyFont="1" applyFill="1" applyAlignment="1">
      <alignment horizontal="left" vertical="center" wrapText="1"/>
    </xf>
    <xf numFmtId="0" fontId="94" fillId="0" borderId="220" xfId="0" applyFont="1" applyBorder="1" applyAlignment="1">
      <alignment horizontal="left" vertical="center" wrapText="1"/>
    </xf>
    <xf numFmtId="0" fontId="94" fillId="0" borderId="228" xfId="0" applyFont="1" applyBorder="1" applyAlignment="1">
      <alignment horizontal="left" vertical="center" wrapText="1"/>
    </xf>
    <xf numFmtId="0" fontId="152" fillId="28" borderId="35" xfId="0" applyFont="1" applyFill="1" applyBorder="1" applyAlignment="1">
      <alignment horizontal="left" vertical="center" wrapText="1"/>
    </xf>
    <xf numFmtId="0" fontId="152" fillId="28" borderId="209" xfId="0" applyFont="1" applyFill="1" applyBorder="1" applyAlignment="1">
      <alignment horizontal="left" vertical="center" wrapText="1"/>
    </xf>
    <xf numFmtId="0" fontId="83" fillId="45" borderId="141" xfId="0" applyFont="1" applyFill="1" applyBorder="1" applyAlignment="1">
      <alignment horizontal="left" vertical="center" wrapText="1"/>
    </xf>
    <xf numFmtId="0" fontId="124" fillId="0" borderId="173" xfId="0" applyFont="1" applyBorder="1" applyAlignment="1">
      <alignment horizontal="left" vertical="center" wrapText="1"/>
    </xf>
    <xf numFmtId="0" fontId="124" fillId="0" borderId="174" xfId="0" applyFont="1" applyBorder="1" applyAlignment="1">
      <alignment horizontal="left" vertical="center" wrapText="1"/>
    </xf>
    <xf numFmtId="0" fontId="125" fillId="0" borderId="141" xfId="0" applyFont="1" applyBorder="1" applyAlignment="1">
      <alignment horizontal="left" vertical="center" wrapText="1"/>
    </xf>
    <xf numFmtId="0" fontId="152" fillId="47" borderId="145" xfId="0" applyFont="1" applyFill="1" applyBorder="1" applyAlignment="1">
      <alignment horizontal="left" vertical="center"/>
    </xf>
    <xf numFmtId="0" fontId="152" fillId="47" borderId="146" xfId="0" applyFont="1" applyFill="1" applyBorder="1" applyAlignment="1">
      <alignment horizontal="left" vertical="center"/>
    </xf>
    <xf numFmtId="0" fontId="124" fillId="14" borderId="170" xfId="0" applyFont="1" applyFill="1" applyBorder="1" applyAlignment="1">
      <alignment horizontal="center" vertical="center" wrapText="1"/>
    </xf>
    <xf numFmtId="0" fontId="124" fillId="14" borderId="172" xfId="0" applyFont="1" applyFill="1" applyBorder="1" applyAlignment="1">
      <alignment horizontal="center" vertical="center" wrapText="1"/>
    </xf>
    <xf numFmtId="0" fontId="124" fillId="7" borderId="170" xfId="0" applyFont="1" applyFill="1" applyBorder="1" applyAlignment="1">
      <alignment horizontal="center" vertical="center" wrapText="1"/>
    </xf>
    <xf numFmtId="0" fontId="124" fillId="7" borderId="172" xfId="0" applyFont="1" applyFill="1" applyBorder="1" applyAlignment="1">
      <alignment horizontal="center" vertical="center" wrapText="1"/>
    </xf>
    <xf numFmtId="0" fontId="124" fillId="22" borderId="170" xfId="0" applyFont="1" applyFill="1" applyBorder="1" applyAlignment="1">
      <alignment horizontal="center" vertical="center" wrapText="1"/>
    </xf>
    <xf numFmtId="0" fontId="124" fillId="22" borderId="172" xfId="0" applyFont="1" applyFill="1" applyBorder="1" applyAlignment="1">
      <alignment horizontal="center" vertical="center" wrapText="1"/>
    </xf>
    <xf numFmtId="0" fontId="124" fillId="41" borderId="171" xfId="0" applyFont="1" applyFill="1" applyBorder="1" applyAlignment="1">
      <alignment horizontal="center" vertical="center" wrapText="1"/>
    </xf>
    <xf numFmtId="0" fontId="124" fillId="41" borderId="172" xfId="0" applyFont="1" applyFill="1" applyBorder="1" applyAlignment="1">
      <alignment horizontal="center" vertical="center" wrapText="1"/>
    </xf>
    <xf numFmtId="0" fontId="124" fillId="41" borderId="234" xfId="0" applyFont="1" applyFill="1" applyBorder="1" applyAlignment="1">
      <alignment horizontal="center" vertical="center" wrapText="1"/>
    </xf>
    <xf numFmtId="0" fontId="124" fillId="41" borderId="235" xfId="0" applyFont="1" applyFill="1" applyBorder="1" applyAlignment="1">
      <alignment horizontal="center" vertical="center" wrapText="1"/>
    </xf>
    <xf numFmtId="0" fontId="152" fillId="28" borderId="60" xfId="0" applyFont="1" applyFill="1" applyBorder="1" applyAlignment="1">
      <alignment horizontal="left" vertical="center" wrapText="1"/>
    </xf>
    <xf numFmtId="0" fontId="152" fillId="28" borderId="62" xfId="0" applyFont="1" applyFill="1" applyBorder="1" applyAlignment="1">
      <alignment horizontal="left" vertical="center" wrapText="1"/>
    </xf>
    <xf numFmtId="0" fontId="94" fillId="0" borderId="221" xfId="0" applyFont="1" applyBorder="1" applyAlignment="1">
      <alignment horizontal="left" vertical="center" wrapText="1"/>
    </xf>
    <xf numFmtId="0" fontId="94" fillId="0" borderId="222" xfId="0" applyFont="1" applyBorder="1" applyAlignment="1">
      <alignment horizontal="left" vertical="center" wrapText="1"/>
    </xf>
    <xf numFmtId="0" fontId="94" fillId="0" borderId="229" xfId="0" applyFont="1" applyBorder="1" applyAlignment="1">
      <alignment horizontal="left" vertical="center" wrapText="1"/>
    </xf>
    <xf numFmtId="0" fontId="124" fillId="0" borderId="8" xfId="0" applyFont="1" applyBorder="1" applyAlignment="1">
      <alignment horizontal="left" vertical="top" wrapText="1"/>
    </xf>
    <xf numFmtId="0" fontId="124" fillId="0" borderId="22" xfId="0" applyFont="1" applyBorder="1" applyAlignment="1">
      <alignment horizontal="left" vertical="top" wrapText="1"/>
    </xf>
    <xf numFmtId="0" fontId="124" fillId="0" borderId="23" xfId="0" applyFont="1" applyBorder="1" applyAlignment="1">
      <alignment horizontal="left" vertical="top" wrapText="1"/>
    </xf>
    <xf numFmtId="0" fontId="124" fillId="0" borderId="24" xfId="0" applyFont="1" applyBorder="1" applyAlignment="1">
      <alignment horizontal="left" vertical="top" wrapText="1"/>
    </xf>
    <xf numFmtId="0" fontId="124" fillId="0" borderId="25" xfId="0" applyFont="1" applyBorder="1" applyAlignment="1">
      <alignment horizontal="left" vertical="top" wrapText="1"/>
    </xf>
    <xf numFmtId="0" fontId="124" fillId="0" borderId="26" xfId="0" applyFont="1" applyBorder="1" applyAlignment="1">
      <alignment horizontal="left" vertical="top" wrapText="1"/>
    </xf>
    <xf numFmtId="0" fontId="55" fillId="0" borderId="128" xfId="0" applyFont="1" applyBorder="1" applyAlignment="1">
      <alignment horizontal="left" vertical="center" wrapText="1"/>
    </xf>
    <xf numFmtId="0" fontId="55" fillId="0" borderId="98" xfId="0" applyFont="1" applyBorder="1" applyAlignment="1">
      <alignment horizontal="left" vertical="center" wrapText="1"/>
    </xf>
    <xf numFmtId="0" fontId="89" fillId="0" borderId="96" xfId="0" applyFont="1" applyBorder="1" applyAlignment="1">
      <alignment horizontal="left" vertical="center" wrapText="1"/>
    </xf>
    <xf numFmtId="0" fontId="89" fillId="0" borderId="7" xfId="0" applyFont="1" applyBorder="1" applyAlignment="1">
      <alignment horizontal="left" vertical="center" wrapText="1"/>
    </xf>
    <xf numFmtId="0" fontId="89" fillId="0" borderId="0" xfId="0" applyFont="1" applyAlignment="1" applyProtection="1">
      <alignment horizontal="left" vertical="center" wrapText="1"/>
      <protection locked="0"/>
    </xf>
    <xf numFmtId="0" fontId="55" fillId="0" borderId="0" xfId="0" applyFont="1" applyAlignment="1" applyProtection="1">
      <alignment horizontal="left" vertical="center" wrapText="1"/>
      <protection locked="0"/>
    </xf>
    <xf numFmtId="0" fontId="107" fillId="0" borderId="0" xfId="0" applyFont="1" applyAlignment="1" applyProtection="1">
      <alignment horizontal="left" vertical="center" wrapText="1"/>
      <protection locked="0"/>
    </xf>
    <xf numFmtId="0" fontId="55" fillId="0" borderId="0" xfId="0" applyFont="1" applyAlignment="1" applyProtection="1">
      <alignment horizontal="left" vertical="center"/>
      <protection locked="0"/>
    </xf>
    <xf numFmtId="0" fontId="107" fillId="28" borderId="130" xfId="0" applyFont="1" applyFill="1" applyBorder="1" applyAlignment="1">
      <alignment horizontal="left" vertical="top" wrapText="1"/>
    </xf>
    <xf numFmtId="0" fontId="107" fillId="28" borderId="131" xfId="0" applyFont="1" applyFill="1" applyBorder="1" applyAlignment="1">
      <alignment horizontal="left" vertical="top" wrapText="1"/>
    </xf>
    <xf numFmtId="0" fontId="89" fillId="0" borderId="96" xfId="0" applyFont="1" applyBorder="1" applyAlignment="1">
      <alignment vertical="center" wrapText="1"/>
    </xf>
    <xf numFmtId="0" fontId="89" fillId="0" borderId="7" xfId="0" applyFont="1" applyBorder="1" applyAlignment="1">
      <alignment vertical="center" wrapText="1"/>
    </xf>
    <xf numFmtId="0" fontId="107" fillId="28" borderId="132" xfId="0" applyFont="1" applyFill="1" applyBorder="1" applyAlignment="1">
      <alignment horizontal="left" vertical="top" wrapText="1"/>
    </xf>
    <xf numFmtId="0" fontId="107" fillId="0" borderId="0" xfId="0" applyFont="1" applyAlignment="1" applyProtection="1">
      <alignment horizontal="left" vertical="top" wrapText="1"/>
      <protection locked="0"/>
    </xf>
    <xf numFmtId="0" fontId="55" fillId="0" borderId="0" xfId="0" applyFont="1" applyAlignment="1" applyProtection="1">
      <alignment vertical="center" wrapText="1"/>
      <protection locked="0"/>
    </xf>
    <xf numFmtId="0" fontId="89" fillId="0" borderId="0" xfId="0" applyFont="1" applyAlignment="1" applyProtection="1">
      <alignment vertical="center" wrapText="1"/>
      <protection locked="0"/>
    </xf>
    <xf numFmtId="0" fontId="38" fillId="0" borderId="0" xfId="0" applyFont="1" applyAlignment="1">
      <alignment horizontal="left" vertical="top" wrapText="1"/>
    </xf>
    <xf numFmtId="0" fontId="234" fillId="53" borderId="245" xfId="0" applyFont="1" applyFill="1" applyBorder="1" applyAlignment="1">
      <alignment horizontal="center" vertical="center" wrapText="1"/>
    </xf>
    <xf numFmtId="0" fontId="234" fillId="53" borderId="248" xfId="0" applyFont="1" applyFill="1" applyBorder="1" applyAlignment="1">
      <alignment horizontal="center" vertical="center" wrapText="1"/>
    </xf>
    <xf numFmtId="0" fontId="234" fillId="53" borderId="246" xfId="0" applyFont="1" applyFill="1" applyBorder="1" applyAlignment="1">
      <alignment horizontal="center" vertical="center" wrapText="1"/>
    </xf>
    <xf numFmtId="0" fontId="234" fillId="53" borderId="247" xfId="0" applyFont="1" applyFill="1" applyBorder="1" applyAlignment="1">
      <alignment horizontal="center" vertical="center" wrapText="1"/>
    </xf>
    <xf numFmtId="0" fontId="234" fillId="53" borderId="0" xfId="0" applyFont="1" applyFill="1" applyAlignment="1">
      <alignment horizontal="center" vertical="center" wrapText="1"/>
    </xf>
    <xf numFmtId="0" fontId="234" fillId="52" borderId="0" xfId="0" applyFont="1" applyFill="1" applyAlignment="1">
      <alignment horizontal="center" vertical="center" wrapText="1"/>
    </xf>
    <xf numFmtId="0" fontId="234" fillId="52" borderId="249" xfId="0" applyFont="1" applyFill="1" applyBorder="1" applyAlignment="1">
      <alignment horizontal="center" vertical="center" wrapText="1"/>
    </xf>
    <xf numFmtId="0" fontId="235" fillId="51" borderId="0" xfId="0" applyFont="1" applyFill="1" applyAlignment="1">
      <alignment horizontal="left" vertical="center" wrapText="1"/>
    </xf>
    <xf numFmtId="0" fontId="235" fillId="51" borderId="250" xfId="0" applyFont="1" applyFill="1" applyBorder="1" applyAlignment="1">
      <alignment horizontal="left" vertical="center" wrapText="1"/>
    </xf>
    <xf numFmtId="0" fontId="235" fillId="51" borderId="251" xfId="0" applyFont="1" applyFill="1" applyBorder="1" applyAlignment="1">
      <alignment horizontal="left" vertical="center" wrapText="1"/>
    </xf>
    <xf numFmtId="0" fontId="235" fillId="51" borderId="252" xfId="0" applyFont="1" applyFill="1" applyBorder="1" applyAlignment="1">
      <alignment horizontal="left" vertical="center" wrapText="1"/>
    </xf>
    <xf numFmtId="0" fontId="50" fillId="38" borderId="0" xfId="0" applyFont="1" applyFill="1" applyAlignment="1">
      <alignment horizontal="left" vertical="center"/>
    </xf>
    <xf numFmtId="0" fontId="40" fillId="0" borderId="193" xfId="0" applyFont="1" applyBorder="1" applyAlignment="1">
      <alignment horizontal="left" vertical="top" wrapText="1"/>
    </xf>
    <xf numFmtId="0" fontId="40" fillId="0" borderId="193" xfId="0" applyFont="1" applyBorder="1" applyAlignment="1">
      <alignment vertical="center" wrapText="1"/>
    </xf>
    <xf numFmtId="0" fontId="51" fillId="0" borderId="193" xfId="0" applyFont="1" applyBorder="1" applyAlignment="1">
      <alignment vertical="center" wrapText="1"/>
    </xf>
    <xf numFmtId="0" fontId="51" fillId="0" borderId="193" xfId="0" applyFont="1" applyBorder="1" applyAlignment="1">
      <alignment horizontal="center" vertical="center" wrapText="1"/>
    </xf>
    <xf numFmtId="0" fontId="51" fillId="0" borderId="194" xfId="0" applyFont="1" applyBorder="1" applyAlignment="1">
      <alignment horizontal="center" vertical="center"/>
    </xf>
    <xf numFmtId="0" fontId="51" fillId="0" borderId="195" xfId="0" applyFont="1" applyBorder="1" applyAlignment="1">
      <alignment horizontal="center" vertical="center"/>
    </xf>
    <xf numFmtId="0" fontId="51" fillId="0" borderId="196" xfId="0" applyFont="1" applyBorder="1" applyAlignment="1">
      <alignment horizontal="center" vertical="center"/>
    </xf>
    <xf numFmtId="0" fontId="51" fillId="0" borderId="194" xfId="0" applyFont="1" applyBorder="1" applyAlignment="1">
      <alignment horizontal="center" vertical="top"/>
    </xf>
    <xf numFmtId="0" fontId="51" fillId="0" borderId="195" xfId="0" applyFont="1" applyBorder="1" applyAlignment="1">
      <alignment horizontal="center" vertical="top"/>
    </xf>
    <xf numFmtId="0" fontId="51" fillId="0" borderId="196" xfId="0" applyFont="1" applyBorder="1" applyAlignment="1">
      <alignment horizontal="center" vertical="top"/>
    </xf>
    <xf numFmtId="176" fontId="51" fillId="0" borderId="193" xfId="0" applyNumberFormat="1" applyFont="1" applyBorder="1" applyAlignment="1">
      <alignment horizontal="center" vertical="center" wrapText="1"/>
    </xf>
    <xf numFmtId="0" fontId="139" fillId="18" borderId="194" xfId="0" applyFont="1" applyFill="1" applyBorder="1" applyAlignment="1">
      <alignment horizontal="center" vertical="center"/>
    </xf>
    <xf numFmtId="0" fontId="139" fillId="18" borderId="196" xfId="0" applyFont="1" applyFill="1" applyBorder="1" applyAlignment="1">
      <alignment horizontal="center" vertical="center"/>
    </xf>
    <xf numFmtId="0" fontId="46" fillId="0" borderId="37" xfId="0" applyFont="1" applyBorder="1" applyAlignment="1">
      <alignment horizontal="center" vertical="center" wrapText="1"/>
    </xf>
    <xf numFmtId="0" fontId="46" fillId="0" borderId="38" xfId="0" applyFont="1" applyBorder="1" applyAlignment="1">
      <alignment horizontal="center" vertical="center" wrapText="1"/>
    </xf>
    <xf numFmtId="0" fontId="46" fillId="7" borderId="37" xfId="0" applyFont="1" applyFill="1" applyBorder="1" applyAlignment="1">
      <alignment horizontal="center" vertical="center" wrapText="1"/>
    </xf>
    <xf numFmtId="0" fontId="46" fillId="7" borderId="38" xfId="0" applyFont="1" applyFill="1" applyBorder="1" applyAlignment="1">
      <alignment horizontal="center" vertical="center" wrapText="1"/>
    </xf>
    <xf numFmtId="0" fontId="46" fillId="0" borderId="29" xfId="0" applyFont="1" applyBorder="1" applyAlignment="1">
      <alignment horizontal="center" vertical="center" wrapText="1"/>
    </xf>
    <xf numFmtId="0" fontId="46" fillId="7" borderId="29" xfId="0" applyFont="1" applyFill="1" applyBorder="1" applyAlignment="1">
      <alignment horizontal="center" vertical="center" wrapText="1"/>
    </xf>
    <xf numFmtId="0" fontId="139" fillId="18" borderId="193" xfId="0" applyFont="1" applyFill="1" applyBorder="1" applyAlignment="1">
      <alignment horizontal="center" vertical="center" wrapText="1"/>
    </xf>
    <xf numFmtId="0" fontId="139" fillId="18" borderId="0" xfId="0" applyFont="1" applyFill="1" applyAlignment="1">
      <alignment horizontal="center" vertical="center" wrapText="1"/>
    </xf>
    <xf numFmtId="0" fontId="46" fillId="0" borderId="37" xfId="0" applyFont="1" applyBorder="1" applyAlignment="1">
      <alignment horizontal="center" vertical="center"/>
    </xf>
    <xf numFmtId="0" fontId="46" fillId="0" borderId="38" xfId="0" applyFont="1" applyBorder="1" applyAlignment="1">
      <alignment horizontal="center" vertical="center"/>
    </xf>
    <xf numFmtId="0" fontId="46" fillId="0" borderId="29" xfId="0" applyFont="1" applyBorder="1" applyAlignment="1">
      <alignment horizontal="center" vertical="center"/>
    </xf>
    <xf numFmtId="0" fontId="139" fillId="4" borderId="0" xfId="0" applyFont="1" applyFill="1" applyAlignment="1">
      <alignment horizontal="center" vertical="center" wrapText="1"/>
    </xf>
    <xf numFmtId="0" fontId="139" fillId="4" borderId="63" xfId="0" applyFont="1" applyFill="1" applyBorder="1" applyAlignment="1">
      <alignment horizontal="center" vertical="center" wrapText="1"/>
    </xf>
    <xf numFmtId="0" fontId="139" fillId="18" borderId="56" xfId="0" applyFont="1" applyFill="1" applyBorder="1" applyAlignment="1">
      <alignment horizontal="center" vertical="center" wrapText="1"/>
    </xf>
    <xf numFmtId="0" fontId="139" fillId="18" borderId="58" xfId="0" applyFont="1" applyFill="1" applyBorder="1" applyAlignment="1">
      <alignment horizontal="center" vertical="center" wrapText="1"/>
    </xf>
    <xf numFmtId="0" fontId="139" fillId="18" borderId="194" xfId="0" applyFont="1" applyFill="1" applyBorder="1" applyAlignment="1">
      <alignment horizontal="center" vertical="center" wrapText="1"/>
    </xf>
    <xf numFmtId="0" fontId="139" fillId="18" borderId="196" xfId="0" applyFont="1" applyFill="1" applyBorder="1" applyAlignment="1">
      <alignment horizontal="center" vertical="center" wrapText="1"/>
    </xf>
    <xf numFmtId="0" fontId="139" fillId="18" borderId="193" xfId="0" applyFont="1" applyFill="1" applyBorder="1" applyAlignment="1" applyProtection="1">
      <alignment horizontal="center" vertical="center" wrapText="1"/>
      <protection locked="0"/>
    </xf>
    <xf numFmtId="0" fontId="139" fillId="18" borderId="57" xfId="0" applyFont="1" applyFill="1" applyBorder="1" applyAlignment="1">
      <alignment horizontal="center" vertical="center" wrapText="1"/>
    </xf>
    <xf numFmtId="0" fontId="139" fillId="0" borderId="0" xfId="0" applyFont="1" applyAlignment="1">
      <alignment vertical="center" wrapText="1"/>
    </xf>
    <xf numFmtId="166" fontId="46" fillId="28" borderId="198" xfId="0" applyNumberFormat="1" applyFont="1" applyFill="1" applyBorder="1" applyAlignment="1">
      <alignment horizontal="center" vertical="center"/>
    </xf>
    <xf numFmtId="166" fontId="46" fillId="28" borderId="77" xfId="0" applyNumberFormat="1" applyFont="1" applyFill="1" applyBorder="1" applyAlignment="1">
      <alignment horizontal="center" vertical="center"/>
    </xf>
    <xf numFmtId="166" fontId="46" fillId="28" borderId="199" xfId="0" applyNumberFormat="1" applyFont="1" applyFill="1" applyBorder="1" applyAlignment="1">
      <alignment horizontal="center" vertical="center"/>
    </xf>
    <xf numFmtId="172" fontId="40" fillId="28" borderId="198" xfId="0" applyNumberFormat="1" applyFont="1" applyFill="1" applyBorder="1" applyAlignment="1">
      <alignment horizontal="center" vertical="center" wrapText="1"/>
    </xf>
    <xf numFmtId="172" fontId="40" fillId="28" borderId="77" xfId="0" applyNumberFormat="1" applyFont="1" applyFill="1" applyBorder="1" applyAlignment="1">
      <alignment horizontal="center" vertical="center" wrapText="1"/>
    </xf>
    <xf numFmtId="172" fontId="40" fillId="28" borderId="199" xfId="0" applyNumberFormat="1" applyFont="1" applyFill="1" applyBorder="1" applyAlignment="1">
      <alignment horizontal="center" vertical="center" wrapText="1"/>
    </xf>
    <xf numFmtId="175" fontId="51" fillId="28" borderId="198" xfId="0" applyNumberFormat="1" applyFont="1" applyFill="1" applyBorder="1" applyAlignment="1">
      <alignment horizontal="center" vertical="center" wrapText="1"/>
    </xf>
    <xf numFmtId="175" fontId="51" fillId="28" borderId="77" xfId="0" applyNumberFormat="1" applyFont="1" applyFill="1" applyBorder="1" applyAlignment="1">
      <alignment horizontal="center" vertical="center" wrapText="1"/>
    </xf>
    <xf numFmtId="175" fontId="51" fillId="28" borderId="199" xfId="0" applyNumberFormat="1" applyFont="1" applyFill="1" applyBorder="1" applyAlignment="1">
      <alignment horizontal="center" vertical="center" wrapText="1"/>
    </xf>
    <xf numFmtId="2" fontId="46" fillId="28" borderId="198" xfId="0" applyNumberFormat="1" applyFont="1" applyFill="1" applyBorder="1" applyAlignment="1">
      <alignment horizontal="center" vertical="center"/>
    </xf>
    <xf numFmtId="2" fontId="46" fillId="28" borderId="77" xfId="0" applyNumberFormat="1" applyFont="1" applyFill="1" applyBorder="1" applyAlignment="1">
      <alignment horizontal="center" vertical="center"/>
    </xf>
    <xf numFmtId="2" fontId="46" fillId="28" borderId="199" xfId="0" applyNumberFormat="1" applyFont="1" applyFill="1" applyBorder="1" applyAlignment="1">
      <alignment horizontal="center" vertical="center"/>
    </xf>
    <xf numFmtId="0" fontId="51" fillId="0" borderId="193" xfId="0" applyFont="1" applyBorder="1" applyAlignment="1">
      <alignment horizontal="center" vertical="center"/>
    </xf>
    <xf numFmtId="0" fontId="40" fillId="10" borderId="193" xfId="0" applyFont="1" applyFill="1" applyBorder="1" applyAlignment="1">
      <alignment horizontal="left" vertical="top" wrapText="1"/>
    </xf>
    <xf numFmtId="0" fontId="139" fillId="18" borderId="200" xfId="0" applyFont="1" applyFill="1" applyBorder="1" applyAlignment="1">
      <alignment horizontal="center" vertical="center"/>
    </xf>
    <xf numFmtId="166" fontId="220" fillId="26" borderId="200" xfId="2" applyNumberFormat="1" applyFont="1" applyFill="1" applyBorder="1" applyAlignment="1" applyProtection="1">
      <alignment horizontal="left" vertical="center" wrapText="1"/>
      <protection locked="0"/>
    </xf>
    <xf numFmtId="0" fontId="51" fillId="10" borderId="193" xfId="0" applyFont="1" applyFill="1" applyBorder="1" applyAlignment="1">
      <alignment horizontal="center" vertical="center"/>
    </xf>
    <xf numFmtId="0" fontId="139" fillId="18" borderId="193" xfId="0" applyFont="1" applyFill="1" applyBorder="1" applyAlignment="1">
      <alignment horizontal="center" vertical="center"/>
    </xf>
    <xf numFmtId="0" fontId="40" fillId="10" borderId="193" xfId="0" applyFont="1" applyFill="1" applyBorder="1" applyAlignment="1">
      <alignment horizontal="left" vertical="center" wrapText="1"/>
    </xf>
    <xf numFmtId="0" fontId="51" fillId="10" borderId="193" xfId="0" applyFont="1" applyFill="1" applyBorder="1" applyAlignment="1">
      <alignment horizontal="left" vertical="center" wrapText="1"/>
    </xf>
    <xf numFmtId="0" fontId="51" fillId="0" borderId="193" xfId="0" applyFont="1" applyBorder="1" applyAlignment="1">
      <alignment horizontal="left" vertical="center" wrapText="1"/>
    </xf>
    <xf numFmtId="172" fontId="51" fillId="28" borderId="198" xfId="0" applyNumberFormat="1" applyFont="1" applyFill="1" applyBorder="1" applyAlignment="1">
      <alignment horizontal="center" vertical="center" wrapText="1"/>
    </xf>
    <xf numFmtId="172" fontId="51" fillId="28" borderId="77" xfId="0" applyNumberFormat="1" applyFont="1" applyFill="1" applyBorder="1" applyAlignment="1">
      <alignment horizontal="center" vertical="center" wrapText="1"/>
    </xf>
    <xf numFmtId="172" fontId="51" fillId="28" borderId="199" xfId="0" applyNumberFormat="1" applyFont="1" applyFill="1" applyBorder="1" applyAlignment="1">
      <alignment horizontal="center" vertical="center" wrapText="1"/>
    </xf>
    <xf numFmtId="0" fontId="208" fillId="0" borderId="12" xfId="0" applyFont="1" applyBorder="1" applyAlignment="1">
      <alignment horizontal="center" vertical="top" wrapText="1"/>
    </xf>
    <xf numFmtId="0" fontId="208" fillId="0" borderId="7" xfId="0" applyFont="1" applyBorder="1" applyAlignment="1">
      <alignment horizontal="center" vertical="top" wrapText="1"/>
    </xf>
    <xf numFmtId="0" fontId="208" fillId="0" borderId="5" xfId="0" applyFont="1" applyBorder="1" applyAlignment="1">
      <alignment horizontal="center" vertical="top" wrapText="1"/>
    </xf>
    <xf numFmtId="0" fontId="208" fillId="0" borderId="6" xfId="0" applyFont="1" applyBorder="1" applyAlignment="1">
      <alignment horizontal="center" vertical="top" wrapText="1"/>
    </xf>
    <xf numFmtId="0" fontId="40" fillId="0" borderId="194" xfId="0" applyFont="1" applyBorder="1" applyAlignment="1">
      <alignment horizontal="left" vertical="top" wrapText="1"/>
    </xf>
    <xf numFmtId="0" fontId="40" fillId="0" borderId="195" xfId="0" applyFont="1" applyBorder="1" applyAlignment="1">
      <alignment horizontal="left" vertical="top" wrapText="1"/>
    </xf>
    <xf numFmtId="0" fontId="40" fillId="0" borderId="196" xfId="0" applyFont="1" applyBorder="1" applyAlignment="1">
      <alignment horizontal="left" vertical="top" wrapText="1"/>
    </xf>
    <xf numFmtId="0" fontId="82" fillId="4" borderId="200" xfId="0" applyFont="1" applyFill="1" applyBorder="1" applyAlignment="1">
      <alignment horizontal="left" vertical="center" indent="1"/>
    </xf>
    <xf numFmtId="0" fontId="54" fillId="4" borderId="87" xfId="0" applyFont="1" applyFill="1" applyBorder="1" applyAlignment="1">
      <alignment horizontal="left"/>
    </xf>
    <xf numFmtId="0" fontId="89" fillId="0" borderId="87" xfId="0" quotePrefix="1" applyFont="1" applyBorder="1" applyAlignment="1" applyProtection="1">
      <alignment horizontal="left"/>
      <protection locked="0"/>
    </xf>
    <xf numFmtId="0" fontId="89" fillId="0" borderId="87" xfId="0" applyFont="1" applyBorder="1" applyAlignment="1" applyProtection="1">
      <alignment horizontal="left"/>
      <protection locked="0"/>
    </xf>
    <xf numFmtId="0" fontId="89" fillId="0" borderId="16" xfId="0" applyFont="1" applyBorder="1" applyAlignment="1">
      <alignment horizontal="left" vertical="center" wrapText="1"/>
    </xf>
    <xf numFmtId="17" fontId="1" fillId="0" borderId="16" xfId="0" quotePrefix="1" applyNumberFormat="1" applyFont="1" applyBorder="1" applyAlignment="1">
      <alignment horizontal="left" vertical="center" wrapText="1"/>
    </xf>
    <xf numFmtId="0" fontId="5" fillId="0" borderId="16" xfId="0" applyFont="1" applyBorder="1" applyAlignment="1">
      <alignment horizontal="left" vertical="center" wrapText="1"/>
    </xf>
    <xf numFmtId="0" fontId="1" fillId="0" borderId="16" xfId="0" applyFont="1" applyBorder="1" applyAlignment="1">
      <alignment horizontal="left" vertical="center" wrapText="1"/>
    </xf>
    <xf numFmtId="0" fontId="132" fillId="0" borderId="0" xfId="0" applyFont="1" applyAlignment="1">
      <alignment horizontal="left" vertical="top" wrapText="1"/>
    </xf>
  </cellXfs>
  <cellStyles count="246">
    <cellStyle name="%" xfId="9" xr:uid="{09B1DEDE-9727-444D-9F6A-856F2DD9AEFD}"/>
    <cellStyle name="% 3" xfId="10" xr:uid="{71DCE37F-5500-4F2E-9167-CC643207BF7B}"/>
    <cellStyle name="% 3 2" xfId="11" xr:uid="{80373179-245F-48D5-8150-A26486106E70}"/>
    <cellStyle name="CABECALHO" xfId="12" xr:uid="{199CA619-7924-4833-A693-F6403BC9A572}"/>
    <cellStyle name="Check Cell" xfId="7" builtinId="23"/>
    <cellStyle name="Comma 2" xfId="13" xr:uid="{0223CDB2-11A0-48CA-BF8C-58432C5C2A16}"/>
    <cellStyle name="Comma 2 2" xfId="14" xr:uid="{EE209F14-3F03-4809-A9B2-ECD43DD7784A}"/>
    <cellStyle name="Comma 3" xfId="15" xr:uid="{900420E7-748F-4BA1-AC26-4B34FB3FB83D}"/>
    <cellStyle name="Comma 4" xfId="240" xr:uid="{825CA27B-DC8B-40E3-BEFA-B30F7D6022D9}"/>
    <cellStyle name="Currency 2" xfId="16" xr:uid="{F3E8DC62-BB9E-41B6-B587-1EC68EC1FBB4}"/>
    <cellStyle name="Currency 2 2" xfId="241" xr:uid="{53E2A009-EF7D-49F0-90D5-0527F4E4A882}"/>
    <cellStyle name="DADOS" xfId="17" xr:uid="{820C0A1F-B6CC-45D1-9233-D321C95840EC}"/>
    <cellStyle name="Editáveis" xfId="4" xr:uid="{856D5C0E-25B2-4826-B462-8DA17CEB6D0B}"/>
    <cellStyle name="Escopo 1" xfId="3" xr:uid="{B2B1E8A3-5DBC-4D29-9C1A-B8D64674982F}"/>
    <cellStyle name="Exemplo" xfId="5" xr:uid="{08CE30BC-C49F-40E1-98CA-557D1E131386}"/>
    <cellStyle name="Hyperlink" xfId="2" builtinId="8"/>
    <cellStyle name="Hyperlink 2" xfId="19" xr:uid="{C32E76CC-F900-4209-91A3-15FF47827DDF}"/>
    <cellStyle name="Hyperlink 2 2" xfId="20" xr:uid="{CB7EB9FA-CEAD-4157-B322-603B17CE03AC}"/>
    <cellStyle name="Hyperlink 3" xfId="21" xr:uid="{728F70D4-C4DF-40F3-BD95-5C9E6FA2C3E2}"/>
    <cellStyle name="Hyperlink 4" xfId="18" xr:uid="{DDC7FFB4-D593-4CED-B6FD-5A3366736C96}"/>
    <cellStyle name="Normal" xfId="0" builtinId="0"/>
    <cellStyle name="Normal - Style1" xfId="22" xr:uid="{2342F00D-638B-453C-A462-BA7EAF13E283}"/>
    <cellStyle name="Normal - Style2" xfId="23" xr:uid="{5F23C26E-2813-4B3B-BB42-6F2E97BB9237}"/>
    <cellStyle name="Normal - Style3" xfId="24" xr:uid="{A8ABDBB6-F8AB-431A-B12C-87DB4DA38C4C}"/>
    <cellStyle name="Normal - Style4" xfId="25" xr:uid="{C37D8AF1-23EB-40D0-B7DD-0BD60A11F1C5}"/>
    <cellStyle name="Normal - Style5" xfId="26" xr:uid="{495C1E65-529D-40EC-A01B-CAC7677B2DF0}"/>
    <cellStyle name="Normal - Style6" xfId="27" xr:uid="{86C5E508-286A-4CE5-9B63-4CC9914ADF59}"/>
    <cellStyle name="Normal - Style7" xfId="28" xr:uid="{17049285-285D-4083-A4FF-73A78FE7F2C3}"/>
    <cellStyle name="Normal - Style8" xfId="29" xr:uid="{7C63EE36-9F4D-42A3-86C7-B0D18BB2A733}"/>
    <cellStyle name="Normal 10" xfId="30" xr:uid="{CF6A0D23-DA1B-4F1E-A288-C3C61FEF7E89}"/>
    <cellStyle name="Normal 10 2" xfId="31" xr:uid="{371C9767-F47C-4EEC-8C07-BCBD675B67F3}"/>
    <cellStyle name="Normal 100" xfId="32" xr:uid="{651001EE-D032-464D-B2E8-67518E67B1AA}"/>
    <cellStyle name="Normal 101" xfId="33" xr:uid="{2B6D6400-14DE-422E-AF66-367CF07E907A}"/>
    <cellStyle name="Normal 102" xfId="34" xr:uid="{EFA43AC4-80EE-4567-B3C3-F6CEDF7B44C9}"/>
    <cellStyle name="Normal 103" xfId="35" xr:uid="{8B339E0A-A719-46AE-9F2D-E8190AB4BFC8}"/>
    <cellStyle name="Normal 104" xfId="36" xr:uid="{F245EBE6-74C2-4224-A85C-0089B5503CB1}"/>
    <cellStyle name="Normal 104 2" xfId="37" xr:uid="{D767051B-07F8-475F-975B-E946330D9300}"/>
    <cellStyle name="Normal 105" xfId="38" xr:uid="{595E4ACB-F6D6-474A-85A2-1B4861B59F67}"/>
    <cellStyle name="Normal 106" xfId="39" xr:uid="{157E9EAC-73BF-4C9F-856E-FDAE343E3A60}"/>
    <cellStyle name="Normal 107" xfId="40" xr:uid="{3D443544-9D10-44D9-BCB4-E9B48BD55880}"/>
    <cellStyle name="Normal 108" xfId="41" xr:uid="{C355A7E9-8365-4A40-9BA6-B5A5E6081C8F}"/>
    <cellStyle name="Normal 109" xfId="42" xr:uid="{7571E5EC-C364-43B4-BBA2-C86A62DE571F}"/>
    <cellStyle name="Normal 11" xfId="43" xr:uid="{F13310E7-302D-4796-9F2F-344726692C40}"/>
    <cellStyle name="Normal 11 2" xfId="44" xr:uid="{00BC431A-4124-4CE3-9407-44CECCEE596A}"/>
    <cellStyle name="Normal 110" xfId="45" xr:uid="{3FA239F5-3389-4379-A029-7A6D26A6907E}"/>
    <cellStyle name="Normal 111" xfId="242" xr:uid="{028C97A0-EFA5-4EFC-A4D3-96FD575241BC}"/>
    <cellStyle name="Normal 112" xfId="243" xr:uid="{175A6A4B-CD2D-420A-8C36-C39BFC38A16B}"/>
    <cellStyle name="Normal 113" xfId="244" xr:uid="{5D0DDAC9-7061-4EBC-AD79-445F4E4747E9}"/>
    <cellStyle name="Normal 114" xfId="245" xr:uid="{9772309B-CDA9-4992-8448-DBD27B06E4C6}"/>
    <cellStyle name="Normal 12" xfId="46" xr:uid="{5E8B3EBF-9C1E-48E3-A672-AD1CBDC11B77}"/>
    <cellStyle name="Normal 12 2" xfId="47" xr:uid="{C4DFE5F2-3B9B-497D-98CA-92A375C2D1F8}"/>
    <cellStyle name="Normal 13" xfId="48" xr:uid="{ECF08EDE-3293-40A9-B11E-6F182B76F3A3}"/>
    <cellStyle name="Normal 13 2" xfId="49" xr:uid="{9246CC38-84F5-4292-B164-0E776204EFE7}"/>
    <cellStyle name="Normal 14" xfId="50" xr:uid="{1D7EEBBD-3413-4015-B499-D7886ADE80F2}"/>
    <cellStyle name="Normal 14 2" xfId="51" xr:uid="{45D96CD9-7D1F-4979-A3B4-E996C89A131C}"/>
    <cellStyle name="Normal 15" xfId="52" xr:uid="{12272CBD-B871-4978-BC16-6D5F425689EA}"/>
    <cellStyle name="Normal 15 2" xfId="53" xr:uid="{E81C97D8-5C0A-4A5E-9C0A-F2E91C47D3F6}"/>
    <cellStyle name="Normal 16" xfId="54" xr:uid="{B3E66728-1E03-4740-A1E7-E53836777FA8}"/>
    <cellStyle name="Normal 16 2" xfId="55" xr:uid="{D1FC83D8-4B9C-4312-AAF5-0A8B924EA36A}"/>
    <cellStyle name="Normal 17" xfId="56" xr:uid="{787BC854-0482-4BF9-A338-D835CE86FDDC}"/>
    <cellStyle name="Normal 17 2" xfId="57" xr:uid="{6679609D-93A5-494F-987A-911EAEF0C126}"/>
    <cellStyle name="Normal 18" xfId="58" xr:uid="{4ED77E2B-4F17-4FD2-9BF8-DD8A1D90A06A}"/>
    <cellStyle name="Normal 18 2" xfId="59" xr:uid="{98A623AB-36CD-4726-ACB2-20F3A2AE4757}"/>
    <cellStyle name="Normal 19" xfId="60" xr:uid="{706C9FA0-3905-4871-AB6D-3D2A5092A0B2}"/>
    <cellStyle name="Normal 19 2" xfId="61" xr:uid="{1E5F0466-97ED-4660-97FD-1ECE33099DEA}"/>
    <cellStyle name="Normal 2" xfId="6" xr:uid="{E3E1C142-F8F6-4840-B6F3-9FC42CE5509A}"/>
    <cellStyle name="Normal 2 2" xfId="62" xr:uid="{B5E84D87-970D-456F-B9C2-A2A463C8453F}"/>
    <cellStyle name="Normal 2 2 2" xfId="63" xr:uid="{68F9029A-6FB2-4E49-B9DF-1FEFEC6A5E92}"/>
    <cellStyle name="Normal 2 2 2 2" xfId="64" xr:uid="{6F94513F-6367-4BDD-8092-3EDC61A4F663}"/>
    <cellStyle name="Normal 20" xfId="65" xr:uid="{24F82B13-A7D0-4651-B615-610AF9607A79}"/>
    <cellStyle name="Normal 20 2" xfId="66" xr:uid="{35C821E2-C3D3-4A93-9AA5-211016208AED}"/>
    <cellStyle name="Normal 21" xfId="67" xr:uid="{8DBA1AE1-7411-4D05-AD6C-876168B52454}"/>
    <cellStyle name="Normal 21 2" xfId="68" xr:uid="{AA69EAAE-B24E-4B0F-8512-9604F0AF83D5}"/>
    <cellStyle name="Normal 22" xfId="69" xr:uid="{4391AD13-5179-4993-98A5-315A1DF36E86}"/>
    <cellStyle name="Normal 22 2" xfId="70" xr:uid="{8F2FBF7C-7C85-4283-AC87-9FE4C19A963D}"/>
    <cellStyle name="Normal 23" xfId="71" xr:uid="{D996699F-7065-43C4-81B8-F8BB903AC996}"/>
    <cellStyle name="Normal 23 2" xfId="72" xr:uid="{77AD0FE6-4598-4E9B-8F3F-2C3609BE2B79}"/>
    <cellStyle name="Normal 24" xfId="73" xr:uid="{D6AB0BB9-F6C9-42D3-B64F-7CC4BC7934AA}"/>
    <cellStyle name="Normal 24 2" xfId="74" xr:uid="{8A3063FB-A129-41EE-B8FD-1C9306464C82}"/>
    <cellStyle name="Normal 25" xfId="75" xr:uid="{8BB65271-D008-4234-8C87-932CA4A8AEBF}"/>
    <cellStyle name="Normal 25 2" xfId="76" xr:uid="{6AB1D9CD-F01A-4808-8A3E-2A88868F709A}"/>
    <cellStyle name="Normal 26" xfId="77" xr:uid="{46D869AB-31B8-45A4-A0C6-87D0F922982E}"/>
    <cellStyle name="Normal 26 2" xfId="78" xr:uid="{BE3FA39D-0BCD-42E6-B53A-DA0E769F18A9}"/>
    <cellStyle name="Normal 27" xfId="79" xr:uid="{0A63CE26-F0C8-44EB-9893-0E7BF45A4A2D}"/>
    <cellStyle name="Normal 27 2" xfId="80" xr:uid="{8638996C-6C1A-4460-8028-F56C33E5025D}"/>
    <cellStyle name="Normal 28" xfId="81" xr:uid="{F7A7BBAB-6305-4400-9244-BBA6A12C6A36}"/>
    <cellStyle name="Normal 28 2" xfId="82" xr:uid="{DCB6473D-4AC4-4E9D-908A-B17957AED85A}"/>
    <cellStyle name="Normal 29" xfId="83" xr:uid="{068C6AC4-40A7-4577-BD33-C7A0E403E8A2}"/>
    <cellStyle name="Normal 29 2" xfId="84" xr:uid="{77EFE508-F449-40AC-A295-967BE487B783}"/>
    <cellStyle name="Normal 3" xfId="85" xr:uid="{1594EEB7-F44F-4D49-9562-4A3B8FA9CC54}"/>
    <cellStyle name="Normal 3 2" xfId="86" xr:uid="{4B915B65-B5D5-456B-8B08-A961808679E9}"/>
    <cellStyle name="Normal 3 2 2" xfId="87" xr:uid="{E12D15EE-527F-4FF4-9F78-83316B1BD13B}"/>
    <cellStyle name="Normal 3 3" xfId="88" xr:uid="{2583B8F5-BC10-4943-87A9-445E19F3C118}"/>
    <cellStyle name="Normal 3 4" xfId="89" xr:uid="{85F5B99E-4800-4CB1-AB24-4AE7DB78DD1F}"/>
    <cellStyle name="Normal 30" xfId="90" xr:uid="{2047FE13-9592-4358-9D74-287C904B7481}"/>
    <cellStyle name="Normal 30 2" xfId="91" xr:uid="{24D1A655-DCC6-42EE-8E4A-C695FA0B2E9B}"/>
    <cellStyle name="Normal 31" xfId="92" xr:uid="{E0A48440-E6A2-43D7-A0EB-B0C3C1691E2D}"/>
    <cellStyle name="Normal 31 2" xfId="93" xr:uid="{E5487F19-114D-44D7-BC29-5FB2495F583E}"/>
    <cellStyle name="Normal 32" xfId="94" xr:uid="{D6B95F36-A33B-43B3-87E9-22C5CA16F999}"/>
    <cellStyle name="Normal 32 2" xfId="95" xr:uid="{9106D165-EC51-42BB-B6B6-5D7B4FC4E6C8}"/>
    <cellStyle name="Normal 33" xfId="96" xr:uid="{440D6540-B817-4FAC-BB01-F6AE2D34571D}"/>
    <cellStyle name="Normal 33 2" xfId="97" xr:uid="{5016C670-A016-4D3D-A391-972193983E48}"/>
    <cellStyle name="Normal 34" xfId="98" xr:uid="{91AC0DA5-EE1B-481E-AFAF-093F0E1E7580}"/>
    <cellStyle name="Normal 34 2" xfId="99" xr:uid="{B8434830-F7E0-4FDE-9508-B70238A4FC79}"/>
    <cellStyle name="Normal 35" xfId="100" xr:uid="{E3F74D2A-242F-48DC-8E2C-FED92098DABD}"/>
    <cellStyle name="Normal 35 2" xfId="101" xr:uid="{5269094C-BAC2-4400-A5CA-F9EC89D5A5DD}"/>
    <cellStyle name="Normal 36" xfId="102" xr:uid="{8DE5D0C0-A788-4F51-BB3A-38261F3DF988}"/>
    <cellStyle name="Normal 36 2" xfId="103" xr:uid="{16958868-4B37-4FB4-9DB8-37FE4FF218D8}"/>
    <cellStyle name="Normal 37" xfId="104" xr:uid="{F87DE069-2A67-4A0C-803A-A42E8484633F}"/>
    <cellStyle name="Normal 37 2" xfId="105" xr:uid="{CB34BFA1-1AAE-410E-A7C4-EA9371EA00AC}"/>
    <cellStyle name="Normal 38" xfId="106" xr:uid="{986D14BB-9E3D-4266-9BED-146400ACFE73}"/>
    <cellStyle name="Normal 38 2" xfId="107" xr:uid="{13F605EE-AAF5-42C4-B628-C74251592752}"/>
    <cellStyle name="Normal 39" xfId="108" xr:uid="{C344DF7B-6D6C-4DD9-8A48-B3CD1577D994}"/>
    <cellStyle name="Normal 39 2" xfId="109" xr:uid="{2D097570-495E-4F7E-BD57-1625102EC155}"/>
    <cellStyle name="Normal 4" xfId="110" xr:uid="{5E713E67-377A-4086-A13E-814C5377EA8E}"/>
    <cellStyle name="Normal 40" xfId="111" xr:uid="{0D3CF700-2429-439E-BE7B-E4BDEC856899}"/>
    <cellStyle name="Normal 40 2" xfId="112" xr:uid="{C14935E4-35E5-437F-A795-DC1D80D73A1B}"/>
    <cellStyle name="Normal 41" xfId="113" xr:uid="{AA43D1C6-33C6-4D79-A0EA-CCC933F59362}"/>
    <cellStyle name="Normal 41 2" xfId="114" xr:uid="{89460C8A-198C-4808-818B-90147DC31991}"/>
    <cellStyle name="Normal 42" xfId="115" xr:uid="{B6D71ECF-7B13-4934-BDC0-C8154882004C}"/>
    <cellStyle name="Normal 42 2" xfId="116" xr:uid="{C2884B8F-2284-4BD7-B4F0-EF82F6CD7001}"/>
    <cellStyle name="Normal 43" xfId="117" xr:uid="{AB58FA3D-2154-4F40-B8E6-2DB2F1A4DEBC}"/>
    <cellStyle name="Normal 43 2" xfId="118" xr:uid="{75CCD14A-EDA4-40F9-8FD9-3BF55AB67501}"/>
    <cellStyle name="Normal 44" xfId="119" xr:uid="{49E2FF4B-7EB3-41FE-817D-5C32FD2873CE}"/>
    <cellStyle name="Normal 44 2" xfId="120" xr:uid="{3C393D82-49E7-4FF6-A32E-7F45BB082AEC}"/>
    <cellStyle name="Normal 45" xfId="121" xr:uid="{753D69B2-F249-4059-89D2-2AB58E3B1AF0}"/>
    <cellStyle name="Normal 45 2" xfId="122" xr:uid="{76353826-87CB-4410-8411-874B8530587C}"/>
    <cellStyle name="Normal 46" xfId="123" xr:uid="{865EDB13-37F8-444C-A33F-721E3103C38D}"/>
    <cellStyle name="Normal 46 2" xfId="124" xr:uid="{B2DC3630-C0A5-4C29-8EF3-0E0761C59BBF}"/>
    <cellStyle name="Normal 47" xfId="125" xr:uid="{897E3E8F-28FF-4712-9D64-890C91207530}"/>
    <cellStyle name="Normal 47 2" xfId="126" xr:uid="{BE5F3672-1EED-400C-8C6B-464C5A2F9B44}"/>
    <cellStyle name="Normal 48" xfId="127" xr:uid="{B19062A7-994D-475A-91B0-338540F39D7A}"/>
    <cellStyle name="Normal 48 2" xfId="128" xr:uid="{00D05CAF-95DC-4241-8CFE-08245FC18220}"/>
    <cellStyle name="Normal 49" xfId="129" xr:uid="{BDA9426E-2CE6-4DD7-BF2D-51CFAF57FB47}"/>
    <cellStyle name="Normal 49 2" xfId="130" xr:uid="{0F076350-69E8-4368-821C-24D3D62BD235}"/>
    <cellStyle name="Normal 5" xfId="131" xr:uid="{111531CA-C0DC-4799-831F-BF51F94E6E79}"/>
    <cellStyle name="Normal 5 2" xfId="132" xr:uid="{917B39F5-E5BC-49F1-9EC1-879CE878BCFB}"/>
    <cellStyle name="Normal 50" xfId="133" xr:uid="{F63C336E-47FB-42A1-B29D-81F7F251DC74}"/>
    <cellStyle name="Normal 50 2" xfId="134" xr:uid="{15FFFEBD-44B0-4D0C-9D34-7E39C49F398E}"/>
    <cellStyle name="Normal 51" xfId="135" xr:uid="{BB662677-97CF-46B9-BD57-AB2603357F2F}"/>
    <cellStyle name="Normal 51 2" xfId="136" xr:uid="{4F450A6A-B044-4D50-9DF6-F61D81D07E26}"/>
    <cellStyle name="Normal 52" xfId="137" xr:uid="{8B133082-F540-4D7D-8A67-6CE24934B80D}"/>
    <cellStyle name="Normal 52 2" xfId="138" xr:uid="{6ED47278-4210-4154-843B-27CC6819C73C}"/>
    <cellStyle name="Normal 53" xfId="139" xr:uid="{9C8315CE-8EFA-4070-913F-42C38A5D5EB3}"/>
    <cellStyle name="Normal 53 2" xfId="140" xr:uid="{EACDB884-24CF-4C97-BC47-8263435FB027}"/>
    <cellStyle name="Normal 54" xfId="141" xr:uid="{34B6E2F1-DC13-460C-BC00-9606C8C46DF3}"/>
    <cellStyle name="Normal 54 2" xfId="142" xr:uid="{05C916A6-5083-493E-AD5F-816DE53979D1}"/>
    <cellStyle name="Normal 55" xfId="143" xr:uid="{28AC536C-A474-4203-A577-7D2C1C8DB58D}"/>
    <cellStyle name="Normal 55 2" xfId="144" xr:uid="{5A93BA10-B182-4967-B729-DDAC29134B6B}"/>
    <cellStyle name="Normal 56" xfId="145" xr:uid="{5F064001-D835-4871-89DC-413D2B659B07}"/>
    <cellStyle name="Normal 56 2" xfId="146" xr:uid="{D2178149-0DA4-40EE-8D9A-38AFFAEC1FAC}"/>
    <cellStyle name="Normal 57" xfId="147" xr:uid="{641E640B-AE89-4F18-BD19-B4AB582B6CD0}"/>
    <cellStyle name="Normal 57 2" xfId="148" xr:uid="{2310C81A-43C7-4158-9E66-67F3A65A5D56}"/>
    <cellStyle name="Normal 58" xfId="149" xr:uid="{485B95B6-4945-44A5-88F8-1EDF6F694280}"/>
    <cellStyle name="Normal 58 2" xfId="150" xr:uid="{5155A4CE-B808-4F09-A4ED-F4311C512C2C}"/>
    <cellStyle name="Normal 59" xfId="151" xr:uid="{B6DDA788-0480-42AD-A246-3C57B87DC193}"/>
    <cellStyle name="Normal 59 2" xfId="152" xr:uid="{B71E0CFC-7FBA-458D-B434-91514F4A2557}"/>
    <cellStyle name="Normal 6" xfId="153" xr:uid="{E6E204F4-AFC2-4AB9-8CED-E1193DF937E5}"/>
    <cellStyle name="Normal 6 2" xfId="8" xr:uid="{81BC39B8-E76C-4179-8A93-58D9684061E6}"/>
    <cellStyle name="Normal 6 2 2" xfId="154" xr:uid="{DBAC0095-485C-47B3-9E7F-19E247DFC3FD}"/>
    <cellStyle name="Normal 6 3" xfId="155" xr:uid="{257DDC1F-F49A-4818-961B-3AB4605BF61A}"/>
    <cellStyle name="Normal 60" xfId="156" xr:uid="{BC60E2F9-9037-49B3-9515-EAFC7E61DF10}"/>
    <cellStyle name="Normal 60 2" xfId="157" xr:uid="{930086F2-8931-4F97-BAC6-60AA38799E5B}"/>
    <cellStyle name="Normal 61" xfId="158" xr:uid="{FB8788FD-B6D3-49F8-803A-19B05E2E1D38}"/>
    <cellStyle name="Normal 61 2" xfId="159" xr:uid="{07319213-4B16-48BC-828A-8EA7DA70AD5F}"/>
    <cellStyle name="Normal 62" xfId="160" xr:uid="{808F7687-7262-4DBF-A82C-D27F610F4170}"/>
    <cellStyle name="Normal 62 2" xfId="161" xr:uid="{DD1B3142-15A6-4501-93DA-A0FAD9FC42A2}"/>
    <cellStyle name="Normal 63" xfId="162" xr:uid="{09EAF1C0-4088-4F5A-AB65-871AD4BBA032}"/>
    <cellStyle name="Normal 63 2" xfId="163" xr:uid="{DC68B495-B728-417C-AEE8-09577481112A}"/>
    <cellStyle name="Normal 64" xfId="164" xr:uid="{D967F7CA-10E0-4B5B-807E-ADB93D20514C}"/>
    <cellStyle name="Normal 64 2" xfId="165" xr:uid="{F3B8C941-A103-45C3-8A25-A094C63AEEB1}"/>
    <cellStyle name="Normal 65" xfId="166" xr:uid="{D05C89AF-C902-49AD-89B2-5160B603F422}"/>
    <cellStyle name="Normal 65 2" xfId="167" xr:uid="{657B1FF4-CC61-4ABD-98AF-65B08ABD8C9A}"/>
    <cellStyle name="Normal 66" xfId="168" xr:uid="{966FA863-70B6-4415-8046-EF3B1293C0FC}"/>
    <cellStyle name="Normal 66 2" xfId="169" xr:uid="{B7C109C2-C799-4EB1-BFDD-59B1D80BCED8}"/>
    <cellStyle name="Normal 67" xfId="170" xr:uid="{41987F34-3588-4B88-A7FB-7BD968820E0B}"/>
    <cellStyle name="Normal 67 2" xfId="171" xr:uid="{91FFFD02-F7F8-484D-98CA-F25DF5E7E3AD}"/>
    <cellStyle name="Normal 68" xfId="172" xr:uid="{55E2633D-E189-43F3-BAD9-983E929961D1}"/>
    <cellStyle name="Normal 68 2" xfId="173" xr:uid="{AEC5DA61-A084-4967-9882-758F3533BD47}"/>
    <cellStyle name="Normal 69" xfId="174" xr:uid="{8630130D-46E8-4FF7-BD12-B5320631B18F}"/>
    <cellStyle name="Normal 69 2" xfId="175" xr:uid="{85736A79-C1C1-49BA-81C7-CC169CB7F477}"/>
    <cellStyle name="Normal 7" xfId="176" xr:uid="{77B7EFB9-17A7-4115-A609-DDB9810B5826}"/>
    <cellStyle name="Normal 7 2" xfId="177" xr:uid="{77728B7B-3BDE-4CC4-B1B1-F84869E581EE}"/>
    <cellStyle name="Normal 70" xfId="178" xr:uid="{A0D788D7-3544-4AA8-8104-C60204E46C6E}"/>
    <cellStyle name="Normal 70 2" xfId="179" xr:uid="{08BA77A1-CFC5-4640-97DA-7C1B28F86483}"/>
    <cellStyle name="Normal 71" xfId="180" xr:uid="{F6ACA903-4EA6-4725-8F30-F233BD12A397}"/>
    <cellStyle name="Normal 71 2" xfId="181" xr:uid="{1D098758-6173-48AB-8090-0992AFD72BC7}"/>
    <cellStyle name="Normal 72" xfId="182" xr:uid="{869E1B56-C4B4-4628-AAE2-6396AAF67B9A}"/>
    <cellStyle name="Normal 72 2" xfId="183" xr:uid="{E175E574-407C-4CA7-A4CE-E4E09C442CD7}"/>
    <cellStyle name="Normal 73" xfId="184" xr:uid="{6F6B58B5-7010-46B4-8492-F71A56143238}"/>
    <cellStyle name="Normal 73 2" xfId="185" xr:uid="{2C08E21D-6282-422E-B71C-6032AFDDEAC4}"/>
    <cellStyle name="Normal 74" xfId="186" xr:uid="{AC977EB6-B2E7-4BB9-B7A0-1638135EE053}"/>
    <cellStyle name="Normal 74 2" xfId="187" xr:uid="{87B5AFC6-EFEA-44E6-81EF-A86FBEAF576F}"/>
    <cellStyle name="Normal 75" xfId="188" xr:uid="{FB62AF46-1387-4A4F-809F-E02BF92C8421}"/>
    <cellStyle name="Normal 75 2" xfId="189" xr:uid="{B84330FA-BE9B-4B06-940A-ACC1CE483A3F}"/>
    <cellStyle name="Normal 76" xfId="190" xr:uid="{8841AC4A-4BFA-4BDE-9EF2-44D1D5F6C2DA}"/>
    <cellStyle name="Normal 76 2" xfId="191" xr:uid="{5D62C94D-7328-48F0-A7E4-1E50A6A86DC6}"/>
    <cellStyle name="Normal 77" xfId="192" xr:uid="{F582B890-7318-47F1-9B3D-CF39951708C6}"/>
    <cellStyle name="Normal 77 2" xfId="193" xr:uid="{F0D8D474-C30B-4E3E-87EA-DC81500C5ACD}"/>
    <cellStyle name="Normal 78" xfId="194" xr:uid="{013DB714-89B2-48BF-8A35-EE3B18291EC7}"/>
    <cellStyle name="Normal 78 2" xfId="195" xr:uid="{CC66064E-CCD0-4FC9-955A-522A5DFF2764}"/>
    <cellStyle name="Normal 79" xfId="196" xr:uid="{E8601F83-D1BA-48AE-B340-BC511797F850}"/>
    <cellStyle name="Normal 79 2" xfId="197" xr:uid="{8F30B7D9-99FE-4738-9F0B-6BCEEA0396BA}"/>
    <cellStyle name="Normal 8" xfId="198" xr:uid="{E65D7FE8-E90B-4E84-86F7-E3F298186229}"/>
    <cellStyle name="Normal 8 2" xfId="199" xr:uid="{04B1FD36-0BC3-4422-8246-362947D67145}"/>
    <cellStyle name="Normal 80" xfId="200" xr:uid="{D40A182C-FF7C-4245-9813-09813F953855}"/>
    <cellStyle name="Normal 80 2" xfId="201" xr:uid="{DB2B5E6B-A7C9-4C4D-AC8A-2EC0958FAC31}"/>
    <cellStyle name="Normal 81" xfId="202" xr:uid="{15ABE2DA-D50B-4C30-8672-DE7326702753}"/>
    <cellStyle name="Normal 81 2" xfId="203" xr:uid="{2F47C395-2B02-43FB-AE3C-5C04B3B87EB6}"/>
    <cellStyle name="Normal 82" xfId="204" xr:uid="{E2BA5243-6913-4B58-8661-17C353BE149A}"/>
    <cellStyle name="Normal 82 2" xfId="205" xr:uid="{9082BD9C-8DD3-4127-A4C5-56E951C79418}"/>
    <cellStyle name="Normal 83" xfId="206" xr:uid="{735A076F-DB10-44B6-8AAE-6110FDC79360}"/>
    <cellStyle name="Normal 83 2" xfId="207" xr:uid="{64F7CAF7-93F5-4106-9CF1-8CCE00B22055}"/>
    <cellStyle name="Normal 84" xfId="208" xr:uid="{98FD1582-731B-4740-B0AA-0A0E1501DCB2}"/>
    <cellStyle name="Normal 84 2" xfId="209" xr:uid="{24345122-FD73-41D8-9833-8FAA73B89432}"/>
    <cellStyle name="Normal 85" xfId="210" xr:uid="{05AB4492-7923-4C06-B2A4-AD3F7B22EB11}"/>
    <cellStyle name="Normal 85 2" xfId="211" xr:uid="{595EF0B1-8152-483E-83AD-98E14C956B68}"/>
    <cellStyle name="Normal 86" xfId="212" xr:uid="{83CE1CDF-CC30-4CAC-A207-12177F922B44}"/>
    <cellStyle name="Normal 86 2" xfId="213" xr:uid="{56072AAC-658B-4DB0-8D9A-729E06F1B411}"/>
    <cellStyle name="Normal 87" xfId="214" xr:uid="{383CC94A-05C4-47F1-8D41-3CFB8621C2A8}"/>
    <cellStyle name="Normal 87 2" xfId="215" xr:uid="{29ACC7DF-D6AA-4F96-A485-0D0F1B76FFFE}"/>
    <cellStyle name="Normal 88" xfId="216" xr:uid="{6131B84B-EC2A-4A57-B758-38065DDA6DCD}"/>
    <cellStyle name="Normal 88 2" xfId="217" xr:uid="{6C397A1B-0DCF-4E80-84E4-00ABB1E63E12}"/>
    <cellStyle name="Normal 89" xfId="218" xr:uid="{551B48DF-6215-4FD0-888D-2350354F6712}"/>
    <cellStyle name="Normal 89 2" xfId="219" xr:uid="{10DC4260-042E-489F-B9F5-B6D5B4FF95F3}"/>
    <cellStyle name="Normal 9" xfId="220" xr:uid="{C7064B5F-8E63-488E-8C54-269EFC074205}"/>
    <cellStyle name="Normal 9 2" xfId="221" xr:uid="{17D704D6-7BF1-4064-A3F0-82C42E604EAA}"/>
    <cellStyle name="Normal 90" xfId="222" xr:uid="{A2273780-4692-4568-9BDC-579DC4DE76D0}"/>
    <cellStyle name="Normal 90 2" xfId="223" xr:uid="{11379CFF-D55C-4A39-9025-4BBD4CDD442D}"/>
    <cellStyle name="Normal 91" xfId="224" xr:uid="{6E5F4F29-114D-445A-8BFF-CA3C6BD6D3B4}"/>
    <cellStyle name="Normal 92" xfId="225" xr:uid="{595DE4D6-249F-4DB7-B5C6-D9F090483174}"/>
    <cellStyle name="Normal 93" xfId="226" xr:uid="{9BE9676F-1D5F-408E-BEB2-DCC576190745}"/>
    <cellStyle name="Normal 94" xfId="227" xr:uid="{F590EA55-2459-4D67-A54C-B0BE519EB300}"/>
    <cellStyle name="Normal 95" xfId="228" xr:uid="{A88DB769-3E88-41C3-9920-D3657DC1D8C3}"/>
    <cellStyle name="Normal 96" xfId="229" xr:uid="{CB1E0235-0342-45FF-B55D-9221BA3AA7CA}"/>
    <cellStyle name="Normal 97" xfId="230" xr:uid="{DE0665AF-B25A-4A08-854C-3E7998786FF4}"/>
    <cellStyle name="Normal 98" xfId="231" xr:uid="{C337CAED-6943-45EE-8061-91156E9F6C46}"/>
    <cellStyle name="Normal 99" xfId="232" xr:uid="{02D43E22-DDB3-496A-9D02-BA03620AAF05}"/>
    <cellStyle name="NUMLINHA" xfId="233" xr:uid="{08876FE5-C479-4B26-9EE1-26DC17511588}"/>
    <cellStyle name="Percent 2" xfId="234" xr:uid="{96FC57C5-8FDC-451F-B3BF-AF54F1978B77}"/>
    <cellStyle name="Percent 2 2" xfId="235" xr:uid="{90810B20-46EC-4DAE-9E8B-068CD363F205}"/>
    <cellStyle name="Percent 3" xfId="236" xr:uid="{11BB2F80-0A72-4608-83DD-DA510909D499}"/>
    <cellStyle name="Percent 4" xfId="237" xr:uid="{18455E23-5694-4544-AB43-E29DA9B86F9D}"/>
    <cellStyle name="QDTITULO" xfId="238" xr:uid="{4240C520-60EA-4D9A-A4E4-275FF30D599E}"/>
    <cellStyle name="TITCOLUNA" xfId="239" xr:uid="{1E5BEE47-6711-4A0D-AA1D-E44D6F792851}"/>
    <cellStyle name="Vírgula 3" xfId="1" xr:uid="{9CC4C78A-8A05-4757-A08C-FA03EE1B7983}"/>
  </cellStyles>
  <dxfs count="22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patternFill>
      </fill>
    </dxf>
    <dxf>
      <font>
        <color rgb="FF000000"/>
      </font>
    </dxf>
    <dxf>
      <fill>
        <patternFill patternType="solid">
          <fgColor rgb="FFFF0000"/>
          <bgColor theme="1"/>
        </patternFill>
      </fill>
    </dxf>
    <dxf>
      <fill>
        <patternFill>
          <bgColor theme="1"/>
        </patternFill>
      </fill>
    </dxf>
    <dxf>
      <fill>
        <patternFill>
          <bgColor theme="1"/>
        </patternFill>
      </fill>
    </dxf>
    <dxf>
      <fill>
        <patternFill>
          <bgColor theme="1"/>
        </patternFill>
      </fill>
    </dxf>
    <dxf>
      <fill>
        <patternFill patternType="solid">
          <fgColor theme="0"/>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8" tint="0.79998168889431442"/>
        </patternFill>
      </fill>
    </dxf>
    <dxf>
      <font>
        <color theme="0"/>
      </font>
    </dxf>
    <dxf>
      <fill>
        <patternFill>
          <bgColor theme="1"/>
        </patternFill>
      </fill>
    </dxf>
    <dxf>
      <fill>
        <patternFill patternType="solid">
          <bgColor theme="0"/>
        </patternFill>
      </fill>
    </dxf>
    <dxf>
      <fill>
        <patternFill>
          <bgColor theme="1"/>
        </patternFill>
      </fill>
    </dxf>
    <dxf>
      <fill>
        <patternFill>
          <bgColor theme="1"/>
        </patternFill>
      </fill>
    </dxf>
    <dxf>
      <fill>
        <patternFill patternType="solid">
          <fgColor rgb="FFFF0000"/>
          <bgColor theme="1"/>
        </patternFill>
      </fill>
    </dxf>
    <dxf>
      <fill>
        <patternFill>
          <bgColor theme="1"/>
        </patternFill>
      </fill>
    </dxf>
    <dxf>
      <fill>
        <patternFill>
          <bgColor theme="1"/>
        </patternFill>
      </fill>
    </dxf>
    <dxf>
      <font>
        <color theme="1"/>
      </font>
      <fill>
        <patternFill patternType="solid">
          <fgColor rgb="FFFF0000"/>
          <bgColor theme="1"/>
        </patternFill>
      </fill>
    </dxf>
    <dxf>
      <fill>
        <patternFill>
          <bgColor theme="1"/>
        </patternFill>
      </fill>
    </dxf>
    <dxf>
      <font>
        <color theme="1"/>
      </font>
      <fill>
        <patternFill patternType="solid">
          <fgColor rgb="FFFF0000"/>
          <bgColor theme="1"/>
        </patternFill>
      </fill>
    </dxf>
    <dxf>
      <fill>
        <patternFill patternType="solid">
          <fgColor rgb="FFFF0000"/>
          <bgColor theme="1"/>
        </patternFill>
      </fill>
    </dxf>
    <dxf>
      <fill>
        <patternFill patternType="solid">
          <fgColor rgb="FFFF0000"/>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patternType="solid">
          <fgColor rgb="FFFF0000"/>
          <bgColor theme="1"/>
        </patternFill>
      </fill>
    </dxf>
    <dxf>
      <fill>
        <patternFill patternType="solid">
          <fgColor rgb="FFFF0000"/>
          <bgColor theme="1"/>
        </patternFill>
      </fill>
    </dxf>
    <dxf>
      <font>
        <color theme="1"/>
      </font>
      <fill>
        <patternFill patternType="solid">
          <fgColor indexed="64"/>
          <bgColor theme="1"/>
        </patternFill>
      </fill>
    </dxf>
    <dxf>
      <fill>
        <patternFill patternType="solid">
          <fgColor rgb="FFFF0000"/>
          <bgColor theme="1"/>
        </patternFill>
      </fill>
    </dxf>
    <dxf>
      <font>
        <color theme="1"/>
      </font>
      <fill>
        <patternFill patternType="solid">
          <fgColor indexed="64"/>
          <bgColor theme="1"/>
        </patternFill>
      </fill>
    </dxf>
    <dxf>
      <fill>
        <patternFill patternType="solid">
          <fgColor rgb="FFFF0000"/>
          <bgColor theme="1"/>
        </patternFill>
      </fill>
    </dxf>
    <dxf>
      <font>
        <color theme="1"/>
      </font>
      <fill>
        <patternFill patternType="solid">
          <fgColor rgb="FFFF0000"/>
          <bgColor theme="1"/>
        </patternFill>
      </fill>
    </dxf>
    <dxf>
      <fill>
        <patternFill patternType="solid">
          <fgColor rgb="FFFF0000"/>
          <bgColor theme="1"/>
        </patternFill>
      </fill>
    </dxf>
    <dxf>
      <font>
        <color theme="1"/>
      </font>
      <fill>
        <patternFill patternType="solid">
          <fgColor rgb="FFFF0000"/>
          <bgColor theme="1"/>
        </patternFill>
      </fill>
    </dxf>
    <dxf>
      <fill>
        <patternFill patternType="solid">
          <fgColor rgb="FFFF0000"/>
          <bgColor theme="1"/>
        </patternFill>
      </fill>
    </dxf>
    <dxf>
      <font>
        <color theme="1"/>
      </font>
      <fill>
        <patternFill patternType="solid">
          <fgColor rgb="FFFF0000"/>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rgb="FFFF0000"/>
          <bgColor theme="1"/>
        </patternFill>
      </fill>
    </dxf>
    <dxf>
      <fill>
        <patternFill patternType="solid">
          <fgColor rgb="FFFF0000"/>
          <bgColor theme="1"/>
        </patternFill>
      </fill>
    </dxf>
    <dxf>
      <font>
        <color rgb="FF000000"/>
      </font>
      <fill>
        <patternFill>
          <bgColor theme="1"/>
        </patternFill>
      </fill>
    </dxf>
    <dxf>
      <fill>
        <patternFill patternType="solid">
          <fgColor rgb="FFFF0000"/>
          <bgColor theme="1"/>
        </patternFill>
      </fill>
    </dxf>
    <dxf>
      <fill>
        <patternFill>
          <bgColor theme="1"/>
        </patternFill>
      </fill>
    </dxf>
    <dxf>
      <font>
        <color theme="1"/>
      </font>
      <fill>
        <patternFill>
          <bgColor theme="1"/>
        </patternFill>
      </fill>
    </dxf>
    <dxf>
      <fill>
        <patternFill>
          <bgColor theme="1"/>
        </patternFill>
      </fill>
    </dxf>
    <dxf>
      <fill>
        <patternFill patternType="solid">
          <fgColor rgb="FFFF0000"/>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rgb="FFFF0000"/>
          <bgColor theme="1"/>
        </patternFill>
      </fill>
    </dxf>
    <dxf>
      <fill>
        <patternFill>
          <bgColor theme="1"/>
        </patternFill>
      </fill>
    </dxf>
    <dxf>
      <font>
        <color theme="1"/>
      </font>
      <fill>
        <patternFill>
          <bgColor theme="1"/>
        </patternFill>
      </fill>
    </dxf>
    <dxf>
      <fill>
        <patternFill patternType="solid">
          <fgColor theme="0"/>
          <bgColor theme="1"/>
        </patternFill>
      </fill>
    </dxf>
    <dxf>
      <font>
        <color theme="1"/>
      </font>
      <fill>
        <patternFill patternType="solid">
          <fgColor rgb="FFFF0000"/>
          <bgColor theme="1"/>
        </patternFill>
      </fill>
    </dxf>
    <dxf>
      <fill>
        <patternFill>
          <bgColor theme="1"/>
        </patternFill>
      </fill>
    </dxf>
    <dxf>
      <font>
        <color theme="1"/>
      </font>
      <fill>
        <patternFill patternType="solid">
          <fgColor rgb="FFFF0000"/>
          <bgColor theme="1"/>
        </patternFill>
      </fill>
    </dxf>
    <dxf>
      <fill>
        <patternFill>
          <bgColor theme="1"/>
        </patternFill>
      </fill>
    </dxf>
    <dxf>
      <fill>
        <patternFill>
          <bgColor theme="1"/>
        </patternFill>
      </fill>
    </dxf>
    <dxf>
      <fill>
        <patternFill>
          <bgColor theme="1"/>
        </patternFill>
      </fill>
    </dxf>
    <dxf>
      <font>
        <strike val="0"/>
        <color rgb="FFFFC000"/>
      </font>
      <fill>
        <patternFill>
          <bgColor theme="1"/>
        </patternFill>
      </fill>
      <border>
        <left/>
        <right/>
        <top/>
        <bottom/>
      </border>
    </dxf>
    <dxf>
      <fill>
        <patternFill patternType="solid">
          <fgColor rgb="FFFF0000"/>
          <bgColor theme="1"/>
        </patternFill>
      </fill>
    </dxf>
    <dxf>
      <fill>
        <patternFill patternType="solid">
          <fgColor rgb="FFFF0000"/>
          <bgColor theme="1"/>
        </patternFill>
      </fill>
    </dxf>
    <dxf>
      <fill>
        <patternFill>
          <bgColor theme="1"/>
        </patternFill>
      </fill>
    </dxf>
    <dxf>
      <font>
        <strike val="0"/>
        <color theme="1"/>
      </font>
      <fill>
        <patternFill>
          <bgColor theme="1"/>
        </patternFill>
      </fill>
      <border>
        <left/>
        <right/>
        <top/>
        <bottom/>
      </border>
    </dxf>
    <dxf>
      <font>
        <strike val="0"/>
        <color theme="1"/>
      </font>
      <fill>
        <patternFill>
          <bgColor theme="1"/>
        </patternFill>
      </fill>
      <border>
        <left/>
        <right/>
        <top/>
        <bottom/>
      </border>
    </dxf>
    <dxf>
      <fill>
        <patternFill>
          <bgColor theme="1"/>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bgColor theme="0"/>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bgColor theme="0"/>
        </patternFill>
      </fill>
    </dxf>
    <dxf>
      <fill>
        <patternFill patternType="solid">
          <fgColor rgb="FFFF0000"/>
          <bgColor theme="1"/>
        </patternFill>
      </fill>
    </dxf>
    <dxf>
      <fill>
        <patternFill patternType="solid">
          <fgColor rgb="FFFF0000"/>
          <bgColor theme="1"/>
        </patternFill>
      </fill>
    </dxf>
    <dxf>
      <fill>
        <patternFill patternType="solid">
          <fgColor rgb="FFFF0000"/>
          <bgColor theme="1"/>
        </patternFill>
      </fill>
    </dxf>
    <dxf>
      <fill>
        <patternFill patternType="solid">
          <fgColor rgb="FFFF0000"/>
          <bgColor theme="1"/>
        </patternFill>
      </fill>
    </dxf>
    <dxf>
      <fill>
        <patternFill patternType="solid">
          <fgColor rgb="FFFF0000"/>
          <bgColor theme="1"/>
        </patternFill>
      </fill>
    </dxf>
    <dxf>
      <fill>
        <patternFill>
          <bgColor theme="9" tint="0.79998168889431442"/>
        </patternFill>
      </fill>
    </dxf>
    <dxf>
      <fill>
        <patternFill patternType="solid">
          <bgColor rgb="FFC9E9FF"/>
        </patternFill>
      </fill>
    </dxf>
    <dxf>
      <fill>
        <patternFill>
          <bgColor theme="9" tint="0.79998168889431442"/>
        </patternFill>
      </fill>
    </dxf>
    <dxf>
      <fill>
        <patternFill patternType="solid">
          <bgColor rgb="FFC9E9FF"/>
        </patternFill>
      </fill>
    </dxf>
    <dxf>
      <fill>
        <patternFill>
          <bgColor theme="9" tint="0.79998168889431442"/>
        </patternFill>
      </fill>
    </dxf>
    <dxf>
      <fill>
        <patternFill patternType="solid">
          <bgColor rgb="FFC9E9FF"/>
        </patternFill>
      </fill>
    </dxf>
    <dxf>
      <fill>
        <patternFill>
          <bgColor theme="9" tint="0.79998168889431442"/>
        </patternFill>
      </fill>
    </dxf>
    <dxf>
      <fill>
        <patternFill patternType="solid">
          <bgColor rgb="FFC9E9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rgb="FFC9E9FF"/>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solid">
          <fgColor theme="9" tint="0.39994506668294322"/>
          <bgColor theme="9" tint="0.39994506668294322"/>
        </patternFill>
      </fill>
    </dxf>
    <dxf>
      <fill>
        <patternFill patternType="solid">
          <bgColor rgb="FFC9E9FF"/>
        </patternFill>
      </fill>
    </dxf>
    <dxf>
      <fill>
        <patternFill>
          <bgColor theme="9" tint="0.39994506668294322"/>
        </patternFill>
      </fill>
    </dxf>
    <dxf>
      <fill>
        <patternFill patternType="solid">
          <bgColor rgb="FFC9E9FF"/>
        </patternFill>
      </fill>
    </dxf>
    <dxf>
      <fill>
        <patternFill>
          <bgColor theme="9" tint="0.39994506668294322"/>
        </patternFill>
      </fill>
    </dxf>
    <dxf>
      <fill>
        <patternFill patternType="solid">
          <bgColor rgb="FFC9E9FF"/>
        </patternFill>
      </fill>
    </dxf>
    <dxf>
      <fill>
        <patternFill>
          <bgColor theme="9" tint="0.39994506668294322"/>
        </patternFill>
      </fill>
    </dxf>
    <dxf>
      <fill>
        <patternFill patternType="solid">
          <bgColor rgb="FFC9E9FF"/>
        </patternFill>
      </fill>
    </dxf>
    <dxf>
      <fill>
        <patternFill>
          <bgColor theme="9" tint="0.39994506668294322"/>
        </patternFill>
      </fill>
    </dxf>
    <dxf>
      <fill>
        <patternFill patternType="solid">
          <fgColor theme="9" tint="0.39994506668294322"/>
          <bgColor theme="9" tint="0.39994506668294322"/>
        </patternFill>
      </fill>
    </dxf>
    <dxf>
      <fill>
        <patternFill>
          <bgColor theme="9" tint="0.39994506668294322"/>
        </patternFill>
      </fill>
    </dxf>
    <dxf>
      <fill>
        <patternFill>
          <bgColor theme="9" tint="0.39994506668294322"/>
        </patternFill>
      </fill>
    </dxf>
    <dxf>
      <fill>
        <patternFill patternType="solid">
          <bgColor rgb="FFC9E9FF"/>
        </patternFill>
      </fill>
    </dxf>
    <dxf>
      <fill>
        <patternFill>
          <bgColor theme="9" tint="0.79998168889431442"/>
        </patternFill>
      </fill>
    </dxf>
    <dxf>
      <fill>
        <patternFill>
          <bgColor theme="1"/>
        </patternFill>
      </fill>
    </dxf>
    <dxf>
      <fill>
        <patternFill patternType="solid">
          <fgColor rgb="FFFF0000"/>
          <bgColor theme="1"/>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1"/>
        </patternFill>
      </fill>
    </dxf>
    <dxf>
      <fill>
        <patternFill patternType="solid">
          <fgColor rgb="FFFF0000"/>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9" tint="0.59996337778862885"/>
        </patternFill>
      </fill>
    </dxf>
    <dxf>
      <fill>
        <patternFill>
          <bgColor rgb="FFFFFF99"/>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patternFill>
      </fill>
    </dxf>
    <dxf>
      <fill>
        <patternFill>
          <bgColor theme="1"/>
        </patternFill>
      </fill>
    </dxf>
    <dxf>
      <fill>
        <patternFill patternType="solid">
          <fgColor theme="9" tint="0.39994506668294322"/>
          <bgColor theme="9" tint="0.39994506668294322"/>
        </patternFill>
      </fill>
    </dxf>
    <dxf>
      <fill>
        <patternFill>
          <bgColor theme="9" tint="0.39994506668294322"/>
        </patternFill>
      </fill>
    </dxf>
    <dxf>
      <fill>
        <patternFill>
          <bgColor theme="9" tint="0.39994506668294322"/>
        </patternFill>
      </fill>
    </dxf>
    <dxf>
      <fill>
        <patternFill patternType="solid">
          <fgColor theme="9" tint="0.39994506668294322"/>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8" tint="-0.24994659260841701"/>
      </font>
      <fill>
        <patternFill patternType="none">
          <bgColor auto="1"/>
        </patternFill>
      </fill>
    </dxf>
    <dxf>
      <fill>
        <patternFill>
          <bgColor theme="1"/>
        </patternFill>
      </fill>
    </dxf>
    <dxf>
      <fill>
        <patternFill>
          <bgColor theme="1"/>
        </patternFill>
      </fill>
    </dxf>
  </dxfs>
  <tableStyles count="0" defaultTableStyle="TableStyleMedium2" defaultPivotStyle="PivotStyleLight16"/>
  <colors>
    <mruColors>
      <color rgb="FFC9E9FF"/>
      <color rgb="FF000000"/>
      <color rgb="FF02A39C"/>
      <color rgb="FF028882"/>
      <color rgb="FFC65911"/>
      <color rgb="FFFFE699"/>
      <color rgb="FF404040"/>
      <color rgb="FFDEEBF7"/>
      <color rgb="FF014744"/>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Aptos" panose="020B0004020202020204" pitchFamily="34" charset="0"/>
                <a:ea typeface="+mn-ea"/>
                <a:cs typeface="+mn-cs"/>
              </a:defRPr>
            </a:pPr>
            <a:r>
              <a:rPr lang="en-US" sz="1800" b="0"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sz="2000">
                <a:latin typeface="Aptos" panose="020B0004020202020204" pitchFamily="34" charset="0"/>
              </a:defRPr>
            </a:pPr>
            <a:r>
              <a:rPr lang="en-US" sz="1800" b="0" i="0" u="none" strike="noStrike" kern="1200" spc="0" baseline="0">
                <a:solidFill>
                  <a:sysClr val="windowText" lastClr="000000">
                    <a:lumMod val="65000"/>
                    <a:lumOff val="35000"/>
                  </a:sysClr>
                </a:solidFill>
                <a:latin typeface="Aptos" panose="020B0004020202020204" pitchFamily="34" charset="0"/>
              </a:rPr>
              <a:t>(tCO2e/ ano)</a:t>
            </a:r>
          </a:p>
        </c:rich>
      </c:tx>
      <c:layout>
        <c:manualLayout>
          <c:xMode val="edge"/>
          <c:yMode val="edge"/>
          <c:x val="6.2458612879825799E-2"/>
          <c:y val="4.6169376756899472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642897589949364"/>
          <c:y val="0.23923380499438443"/>
          <c:w val="0.77384209436273488"/>
          <c:h val="0.67268880885363946"/>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D3AB-4513-B679-3FAD6A585A82}"/>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D3AB-4513-B679-3FAD6A585A82}"/>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D3AB-4513-B679-3FAD6A585A82}"/>
              </c:ext>
            </c:extLst>
          </c:dPt>
          <c:dLbls>
            <c:dLbl>
              <c:idx val="1"/>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D3AB-4513-B679-3FAD6A585A82}"/>
                </c:ext>
              </c:extLst>
            </c:dLbl>
            <c:dLbl>
              <c:idx val="2"/>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D3AB-4513-B679-3FAD6A585A82}"/>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'IC_todos os projetos'!$E$27:$G$27</c:f>
              <c:strCache>
                <c:ptCount val="3"/>
                <c:pt idx="0">
                  <c:v>Emissões Relativas  </c:v>
                </c:pt>
                <c:pt idx="1">
                  <c:v>Emissões Absolutas </c:v>
                </c:pt>
                <c:pt idx="2">
                  <c:v>Emissões de Referência </c:v>
                </c:pt>
              </c:strCache>
            </c:strRef>
          </c:cat>
          <c:val>
            <c:numRef>
              <c:f>'IC_todos os projetos'!$E$33:$G$33</c:f>
              <c:numCache>
                <c:formatCode>#,##0.000</c:formatCode>
                <c:ptCount val="3"/>
                <c:pt idx="0">
                  <c:v>0</c:v>
                </c:pt>
                <c:pt idx="1">
                  <c:v>0</c:v>
                </c:pt>
                <c:pt idx="2">
                  <c:v>0</c:v>
                </c:pt>
              </c:numCache>
            </c:numRef>
          </c:val>
          <c:extLst>
            <c:ext xmlns:c16="http://schemas.microsoft.com/office/drawing/2014/chart" uri="{C3380CC4-5D6E-409C-BE32-E72D297353CC}">
              <c16:uniqueId val="{00000006-D3AB-4513-B679-3FAD6A585A82}"/>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2942517951883072"/>
          <c:y val="5.8383419528180276E-2"/>
          <c:w val="0.43996263105066191"/>
          <c:h val="0.1643673608846231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400" b="1"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a:latin typeface="Aptos" panose="020B0004020202020204" pitchFamily="34" charset="0"/>
              </a:defRPr>
            </a:pPr>
            <a:r>
              <a:rPr lang="en-US" sz="1400" b="0" i="0" u="none" strike="noStrike" kern="1200" spc="0" baseline="0">
                <a:solidFill>
                  <a:sysClr val="windowText" lastClr="000000">
                    <a:lumMod val="65000"/>
                    <a:lumOff val="35000"/>
                  </a:sysClr>
                </a:solidFill>
                <a:latin typeface="Aptos" panose="020B0004020202020204" pitchFamily="34" charset="0"/>
              </a:rPr>
              <a:t>(tCO2e/ ano)</a:t>
            </a:r>
          </a:p>
        </c:rich>
      </c:tx>
      <c:layout>
        <c:manualLayout>
          <c:xMode val="edge"/>
          <c:yMode val="edge"/>
          <c:x val="8.6268103898112986E-2"/>
          <c:y val="3.630734806900654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428026633610802"/>
          <c:y val="0.34059563296860973"/>
          <c:w val="0.78025576028121757"/>
          <c:h val="0.57470437351175629"/>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DBD7-4F8F-8209-11227669A714}"/>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DBD7-4F8F-8209-11227669A714}"/>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DBD7-4F8F-8209-11227669A714}"/>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'TM5_parques de estacionamento'!$C$142:$C$144</c:f>
              <c:strCache>
                <c:ptCount val="3"/>
                <c:pt idx="0">
                  <c:v>Re: Emissões Relativas                 </c:v>
                </c:pt>
                <c:pt idx="1">
                  <c:v>Ab: Emissões Absolutas </c:v>
                </c:pt>
                <c:pt idx="2">
                  <c:v>Be: Emissões de Referência </c:v>
                </c:pt>
              </c:strCache>
            </c:strRef>
          </c:cat>
          <c:val>
            <c:numRef>
              <c:f>'TM5_parques de estacionamento'!$E$142:$E$144</c:f>
              <c:numCache>
                <c:formatCode>#,##0.000</c:formatCode>
                <c:ptCount val="3"/>
                <c:pt idx="0">
                  <c:v>0</c:v>
                </c:pt>
                <c:pt idx="1">
                  <c:v>0</c:v>
                </c:pt>
                <c:pt idx="2">
                  <c:v>0</c:v>
                </c:pt>
              </c:numCache>
            </c:numRef>
          </c:val>
          <c:extLst>
            <c:ext xmlns:c16="http://schemas.microsoft.com/office/drawing/2014/chart" uri="{C3380CC4-5D6E-409C-BE32-E72D297353CC}">
              <c16:uniqueId val="{00000006-DBD7-4F8F-8209-11227669A714}"/>
            </c:ext>
          </c:extLst>
        </c:ser>
        <c:dLbls>
          <c:dLblPos val="inEnd"/>
          <c:showLegendKey val="0"/>
          <c:showVal val="1"/>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45466042325639"/>
          <c:y val="3.998546743432195E-2"/>
          <c:w val="0.39711882137408722"/>
          <c:h val="0.2145488355333640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r>
              <a:rPr lang="en-US" sz="1800" b="1" i="0" u="none" strike="noStrike" kern="1200" spc="0" baseline="0">
                <a:solidFill>
                  <a:sysClr val="windowText" lastClr="000000">
                    <a:lumMod val="65000"/>
                    <a:lumOff val="35000"/>
                  </a:sysClr>
                </a:solidFill>
                <a:latin typeface="Aptos" panose="020B0004020202020204" pitchFamily="34" charset="0"/>
              </a:rPr>
              <a:t>Total de emissões de GEE (sem ProdT)</a:t>
            </a:r>
            <a:endParaRPr lang="en-US" sz="1800">
              <a:latin typeface="Aptos" panose="020B0004020202020204" pitchFamily="34" charset="0"/>
            </a:endParaRPr>
          </a:p>
          <a:p>
            <a:pPr algn="l">
              <a:defRPr sz="1800">
                <a:latin typeface="Aptos" panose="020B0004020202020204" pitchFamily="34" charset="0"/>
              </a:defRPr>
            </a:pPr>
            <a:r>
              <a:rPr lang="en-US" sz="1800" baseline="0">
                <a:latin typeface="Aptos" panose="020B0004020202020204" pitchFamily="34" charset="0"/>
              </a:rPr>
              <a:t>(tCO2e/ ano)</a:t>
            </a:r>
          </a:p>
        </c:rich>
      </c:tx>
      <c:layout>
        <c:manualLayout>
          <c:xMode val="edge"/>
          <c:yMode val="edge"/>
          <c:x val="2.3479471123746279E-2"/>
          <c:y val="3.6307409290150673E-2"/>
        </c:manualLayout>
      </c:layout>
      <c:overlay val="0"/>
      <c:spPr>
        <a:noFill/>
        <a:ln>
          <a:noFill/>
        </a:ln>
        <a:effectLst/>
      </c:spPr>
      <c:txPr>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552221583330399"/>
          <c:y val="0.28635908624918816"/>
          <c:w val="0.78387851015642407"/>
          <c:h val="0.66472808613647216"/>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1-2B64-428C-B241-7D26210E6639}"/>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12-2B64-428C-B241-7D26210E6639}"/>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13-2B64-428C-B241-7D26210E6639}"/>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1-2B64-428C-B241-7D26210E6639}"/>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2-2B64-428C-B241-7D26210E6639}"/>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3-2B64-428C-B241-7D26210E663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RE_resultados!$AI$7:$AI$9</c:f>
              <c:strCache>
                <c:ptCount val="3"/>
                <c:pt idx="0">
                  <c:v>Emissões relativas</c:v>
                </c:pt>
                <c:pt idx="1">
                  <c:v>Emissões absolutas</c:v>
                </c:pt>
                <c:pt idx="2">
                  <c:v>Emissões de referência</c:v>
                </c:pt>
              </c:strCache>
            </c:strRef>
          </c:cat>
          <c:val>
            <c:numRef>
              <c:f>RE_resultados!$AJ$7:$AJ$9</c:f>
              <c:numCache>
                <c:formatCode>0.00</c:formatCode>
                <c:ptCount val="3"/>
                <c:pt idx="0">
                  <c:v>0</c:v>
                </c:pt>
                <c:pt idx="1">
                  <c:v>0</c:v>
                </c:pt>
                <c:pt idx="2">
                  <c:v>0</c:v>
                </c:pt>
              </c:numCache>
            </c:numRef>
          </c:val>
          <c:extLst>
            <c:ext xmlns:c16="http://schemas.microsoft.com/office/drawing/2014/chart" uri="{C3380CC4-5D6E-409C-BE32-E72D297353CC}">
              <c16:uniqueId val="{0000000E-2B64-428C-B241-7D26210E6639}"/>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64868505940574217"/>
          <c:y val="3.5176720294000909E-2"/>
          <c:w val="0.26352868105227306"/>
          <c:h val="0.165970286269718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2700" cap="flat" cmpd="sng" algn="ctr">
      <a:solidFill>
        <a:schemeClr val="accent6">
          <a:lumMod val="40000"/>
          <a:lumOff val="6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endParaRPr lang="en-US" sz="1800">
              <a:latin typeface="Aptos" panose="020B0004020202020204" pitchFamily="34" charset="0"/>
            </a:endParaRPr>
          </a:p>
          <a:p>
            <a:pPr algn="l">
              <a:defRPr sz="1800">
                <a:latin typeface="Aptos" panose="020B0004020202020204" pitchFamily="34" charset="0"/>
              </a:defRPr>
            </a:pPr>
            <a:r>
              <a:rPr lang="en-US" sz="1800">
                <a:latin typeface="Aptos" panose="020B0004020202020204" pitchFamily="34" charset="0"/>
              </a:rPr>
              <a:t>emissões de GEE</a:t>
            </a:r>
            <a:r>
              <a:rPr lang="en-US" sz="1800" baseline="0">
                <a:latin typeface="Aptos" panose="020B0004020202020204" pitchFamily="34" charset="0"/>
              </a:rPr>
              <a:t> (sem</a:t>
            </a:r>
            <a:r>
              <a:rPr lang="en-US" sz="1800">
                <a:latin typeface="Aptos" panose="020B0004020202020204" pitchFamily="34" charset="0"/>
              </a:rPr>
              <a:t> ProdT)</a:t>
            </a:r>
          </a:p>
          <a:p>
            <a:pPr algn="l">
              <a:defRPr sz="1800">
                <a:latin typeface="Aptos" panose="020B0004020202020204" pitchFamily="34" charset="0"/>
              </a:defRPr>
            </a:pPr>
            <a:r>
              <a:rPr lang="en-US" sz="1800" baseline="0">
                <a:latin typeface="Aptos" panose="020B0004020202020204" pitchFamily="34" charset="0"/>
              </a:rPr>
              <a:t>(tCO2e/ ano)</a:t>
            </a:r>
          </a:p>
        </c:rich>
      </c:tx>
      <c:layout>
        <c:manualLayout>
          <c:xMode val="edge"/>
          <c:yMode val="edge"/>
          <c:x val="4.1889132971727028E-2"/>
          <c:y val="9.594124923910697E-3"/>
        </c:manualLayout>
      </c:layout>
      <c:overlay val="0"/>
      <c:spPr>
        <a:noFill/>
        <a:ln>
          <a:noFill/>
        </a:ln>
        <a:effectLst/>
      </c:spPr>
      <c:txPr>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883213497882389"/>
          <c:y val="0.28509139759896879"/>
          <c:w val="0.77405949256342954"/>
          <c:h val="0.62488078399211211"/>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6F3B-4548-AA38-7551AA99CC60}"/>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6F3B-4548-AA38-7551AA99CC60}"/>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6F3B-4548-AA38-7551AA99CC60}"/>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404040"/>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'IC_todos os projetos'!$E$54:$G$54</c:f>
              <c:strCache>
                <c:ptCount val="3"/>
                <c:pt idx="0">
                  <c:v>Emissões Relativas  </c:v>
                </c:pt>
                <c:pt idx="1">
                  <c:v>Emissões Absolutas </c:v>
                </c:pt>
                <c:pt idx="2">
                  <c:v>Emissões de Referência </c:v>
                </c:pt>
              </c:strCache>
            </c:strRef>
          </c:cat>
          <c:val>
            <c:numRef>
              <c:f>'IC_todos os projetos'!$E$62:$G$62</c:f>
              <c:numCache>
                <c:formatCode>#,##0.000</c:formatCode>
                <c:ptCount val="3"/>
                <c:pt idx="0">
                  <c:v>0</c:v>
                </c:pt>
                <c:pt idx="1">
                  <c:v>0</c:v>
                </c:pt>
                <c:pt idx="2">
                  <c:v>0</c:v>
                </c:pt>
              </c:numCache>
            </c:numRef>
          </c:val>
          <c:extLst>
            <c:ext xmlns:c16="http://schemas.microsoft.com/office/drawing/2014/chart" uri="{C3380CC4-5D6E-409C-BE32-E72D297353CC}">
              <c16:uniqueId val="{00000006-6F3B-4548-AA38-7551AA99CC60}"/>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1020414722211327"/>
          <c:y val="2.5093183618319873E-2"/>
          <c:w val="0.45748293193490119"/>
          <c:h val="0.16645545046514157"/>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800" b="0"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a:latin typeface="Aptos" panose="020B0004020202020204" pitchFamily="34" charset="0"/>
              </a:defRPr>
            </a:pPr>
            <a:r>
              <a:rPr lang="en-US" sz="1800" b="0" i="0" u="none" strike="noStrike" kern="1200" spc="0" baseline="0">
                <a:solidFill>
                  <a:sysClr val="windowText" lastClr="000000">
                    <a:lumMod val="65000"/>
                    <a:lumOff val="35000"/>
                  </a:sysClr>
                </a:solidFill>
                <a:latin typeface="Aptos" panose="020B0004020202020204" pitchFamily="34" charset="0"/>
              </a:rPr>
              <a:t>(tCO2e/ ano)</a:t>
            </a:r>
          </a:p>
        </c:rich>
      </c:tx>
      <c:layout>
        <c:manualLayout>
          <c:xMode val="edge"/>
          <c:yMode val="edge"/>
          <c:x val="6.2458612879825799E-2"/>
          <c:y val="4.6169376756899472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883213497882389"/>
          <c:y val="0.28509139759896879"/>
          <c:w val="0.77143891324670399"/>
          <c:h val="0.62683125223252423"/>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9DB8-453D-8CB4-61BC03FB8F28}"/>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9DB8-453D-8CB4-61BC03FB8F28}"/>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9DB8-453D-8CB4-61BC03FB8F28}"/>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'IC_todos os projetos'!$E$105:$G$105</c:f>
              <c:strCache>
                <c:ptCount val="3"/>
                <c:pt idx="0">
                  <c:v>Emissões Relativas  </c:v>
                </c:pt>
                <c:pt idx="1">
                  <c:v>Emissões Absolutas </c:v>
                </c:pt>
                <c:pt idx="2">
                  <c:v>Emissões de Referência </c:v>
                </c:pt>
              </c:strCache>
            </c:strRef>
          </c:cat>
          <c:val>
            <c:numRef>
              <c:f>'IC_todos os projetos'!$E$106:$G$106</c:f>
              <c:numCache>
                <c:formatCode>#,##0.000</c:formatCode>
                <c:ptCount val="3"/>
                <c:pt idx="0">
                  <c:v>0</c:v>
                </c:pt>
                <c:pt idx="1">
                  <c:v>0</c:v>
                </c:pt>
                <c:pt idx="2">
                  <c:v>0</c:v>
                </c:pt>
              </c:numCache>
            </c:numRef>
          </c:val>
          <c:extLst>
            <c:ext xmlns:c16="http://schemas.microsoft.com/office/drawing/2014/chart" uri="{C3380CC4-5D6E-409C-BE32-E72D297353CC}">
              <c16:uniqueId val="{00000006-9DB8-453D-8CB4-61BC03FB8F28}"/>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46598646606855409"/>
          <c:y val="3.4955116557175918E-2"/>
          <c:w val="0.49149653282225447"/>
          <c:h val="0.1960412492817096"/>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r>
              <a:rPr lang="en-US" sz="1800" b="0"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sz="1800">
                <a:latin typeface="Aptos" panose="020B0004020202020204" pitchFamily="34" charset="0"/>
              </a:defRPr>
            </a:pPr>
            <a:r>
              <a:rPr lang="en-US" sz="1800" b="0" i="0" u="none" strike="noStrike" kern="1200" spc="0" baseline="0">
                <a:solidFill>
                  <a:sysClr val="windowText" lastClr="000000">
                    <a:lumMod val="65000"/>
                    <a:lumOff val="35000"/>
                  </a:sysClr>
                </a:solidFill>
                <a:latin typeface="Aptos" panose="020B0004020202020204" pitchFamily="34" charset="0"/>
              </a:rPr>
              <a:t>(tCO2e/ano)</a:t>
            </a:r>
          </a:p>
        </c:rich>
      </c:tx>
      <c:layout>
        <c:manualLayout>
          <c:xMode val="edge"/>
          <c:yMode val="edge"/>
          <c:x val="6.2458612879825799E-2"/>
          <c:y val="4.6169376756899472E-2"/>
        </c:manualLayout>
      </c:layout>
      <c:overlay val="0"/>
      <c:spPr>
        <a:noFill/>
        <a:ln>
          <a:noFill/>
        </a:ln>
        <a:effectLst/>
      </c:spPr>
      <c:txPr>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883213497882389"/>
          <c:y val="0.28509139759896879"/>
          <c:w val="0.77143891324670399"/>
          <c:h val="0.62683125223252423"/>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0750-4249-8FB1-B5F0A7C41B1C}"/>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0750-4249-8FB1-B5F0A7C41B1C}"/>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0750-4249-8FB1-B5F0A7C41B1C}"/>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'IC_todos os projetos'!$E$125:$G$125</c:f>
              <c:strCache>
                <c:ptCount val="3"/>
                <c:pt idx="0">
                  <c:v>Emissões Relativas  </c:v>
                </c:pt>
                <c:pt idx="1">
                  <c:v>Emissões Absolutas </c:v>
                </c:pt>
                <c:pt idx="2">
                  <c:v>Emissões de Referência </c:v>
                </c:pt>
              </c:strCache>
            </c:strRef>
          </c:cat>
          <c:val>
            <c:numRef>
              <c:f>'IC_todos os projetos'!$E$131:$G$131</c:f>
              <c:numCache>
                <c:formatCode>#,##0.000</c:formatCode>
                <c:ptCount val="3"/>
                <c:pt idx="0">
                  <c:v>0</c:v>
                </c:pt>
                <c:pt idx="1">
                  <c:v>0</c:v>
                </c:pt>
                <c:pt idx="2">
                  <c:v>0</c:v>
                </c:pt>
              </c:numCache>
            </c:numRef>
          </c:val>
          <c:extLst>
            <c:ext xmlns:c16="http://schemas.microsoft.com/office/drawing/2014/chart" uri="{C3380CC4-5D6E-409C-BE32-E72D297353CC}">
              <c16:uniqueId val="{00000006-0750-4249-8FB1-B5F0A7C41B1C}"/>
            </c:ext>
          </c:extLst>
        </c:ser>
        <c:dLbls>
          <c:dLblPos val="inEnd"/>
          <c:showLegendKey val="0"/>
          <c:showVal val="1"/>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48809530664533368"/>
          <c:y val="4.7282532730745938E-2"/>
          <c:w val="0.39096068595784472"/>
          <c:h val="0.19357576604699561"/>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2000" b="0"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a:latin typeface="Aptos" panose="020B0004020202020204" pitchFamily="34" charset="0"/>
              </a:defRPr>
            </a:pPr>
            <a:r>
              <a:rPr lang="en-US" sz="2000" b="0" i="0" u="none" strike="noStrike" kern="1200" spc="0" baseline="0">
                <a:solidFill>
                  <a:sysClr val="windowText" lastClr="000000">
                    <a:lumMod val="65000"/>
                    <a:lumOff val="35000"/>
                  </a:sysClr>
                </a:solidFill>
                <a:latin typeface="Aptos" panose="020B0004020202020204" pitchFamily="34" charset="0"/>
              </a:rPr>
              <a:t>(tCO2e/ ano)</a:t>
            </a:r>
          </a:p>
        </c:rich>
      </c:tx>
      <c:layout>
        <c:manualLayout>
          <c:xMode val="edge"/>
          <c:yMode val="edge"/>
          <c:x val="6.2458612879825799E-2"/>
          <c:y val="4.6169376756899472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883213497882389"/>
          <c:y val="0.28509139759896879"/>
          <c:w val="0.77143891324670399"/>
          <c:h val="0.62683125223252423"/>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F4FC-49C1-88D1-3B1687A35031}"/>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F4FC-49C1-88D1-3B1687A35031}"/>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F4FC-49C1-88D1-3B1687A35031}"/>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40404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'IC_todos os projetos'!$E$82:$G$82</c:f>
              <c:strCache>
                <c:ptCount val="3"/>
                <c:pt idx="0">
                  <c:v>Emissões Relativas  </c:v>
                </c:pt>
                <c:pt idx="1">
                  <c:v>Emissões Absolutas </c:v>
                </c:pt>
                <c:pt idx="2">
                  <c:v>Emissões de Referência </c:v>
                </c:pt>
              </c:strCache>
            </c:strRef>
          </c:cat>
          <c:val>
            <c:numRef>
              <c:f>'IC_todos os projetos'!$E$89:$G$89</c:f>
              <c:numCache>
                <c:formatCode>#,##0.000</c:formatCode>
                <c:ptCount val="3"/>
                <c:pt idx="0">
                  <c:v>0</c:v>
                </c:pt>
                <c:pt idx="1">
                  <c:v>0</c:v>
                </c:pt>
                <c:pt idx="2">
                  <c:v>0</c:v>
                </c:pt>
              </c:numCache>
            </c:numRef>
          </c:val>
          <c:extLst>
            <c:ext xmlns:c16="http://schemas.microsoft.com/office/drawing/2014/chart" uri="{C3380CC4-5D6E-409C-BE32-E72D297353CC}">
              <c16:uniqueId val="{00000006-F4FC-49C1-88D1-3B1687A35031}"/>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48129258646786305"/>
          <c:y val="3.2489633322461908E-2"/>
          <c:w val="0.43537409135812155"/>
          <c:h val="0.2009722157511376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400" b="1"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a:latin typeface="Aptos" panose="020B0004020202020204" pitchFamily="34" charset="0"/>
              </a:defRPr>
            </a:pPr>
            <a:r>
              <a:rPr lang="en-US" sz="1400" b="0" i="0" u="none" strike="noStrike" kern="1200" spc="0" baseline="0">
                <a:solidFill>
                  <a:sysClr val="windowText" lastClr="000000">
                    <a:lumMod val="65000"/>
                    <a:lumOff val="35000"/>
                  </a:sysClr>
                </a:solidFill>
                <a:latin typeface="Aptos" panose="020B0004020202020204" pitchFamily="34" charset="0"/>
              </a:rPr>
              <a:t>(tCO2e/ ano)</a:t>
            </a:r>
          </a:p>
        </c:rich>
      </c:tx>
      <c:layout>
        <c:manualLayout>
          <c:xMode val="edge"/>
          <c:yMode val="edge"/>
          <c:x val="8.6268103898112986E-2"/>
          <c:y val="3.630734806900654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428026633610802"/>
          <c:y val="0.34059563296860973"/>
          <c:w val="0.78025576028121757"/>
          <c:h val="0.57470437351175629"/>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315F-4751-A638-37EF402FAA8D}"/>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315F-4751-A638-37EF402FAA8D}"/>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315F-4751-A638-37EF402FAA8D}"/>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'TM1_micromobilidade '!$C$157:$C$159</c:f>
              <c:strCache>
                <c:ptCount val="3"/>
                <c:pt idx="0">
                  <c:v>Re: Emissões Relativas                 </c:v>
                </c:pt>
                <c:pt idx="1">
                  <c:v>Ab: Emissões Absolutas </c:v>
                </c:pt>
                <c:pt idx="2">
                  <c:v>Be: Emissões de Referência </c:v>
                </c:pt>
              </c:strCache>
            </c:strRef>
          </c:cat>
          <c:val>
            <c:numRef>
              <c:f>'TM1_micromobilidade '!$E$157:$E$159</c:f>
              <c:numCache>
                <c:formatCode>#,##0.000</c:formatCode>
                <c:ptCount val="3"/>
                <c:pt idx="0">
                  <c:v>0</c:v>
                </c:pt>
                <c:pt idx="1">
                  <c:v>0</c:v>
                </c:pt>
                <c:pt idx="2">
                  <c:v>0</c:v>
                </c:pt>
              </c:numCache>
            </c:numRef>
          </c:val>
          <c:extLst>
            <c:ext xmlns:c16="http://schemas.microsoft.com/office/drawing/2014/chart" uri="{C3380CC4-5D6E-409C-BE32-E72D297353CC}">
              <c16:uniqueId val="{00000006-315F-4751-A638-37EF402FAA8D}"/>
            </c:ext>
          </c:extLst>
        </c:ser>
        <c:dLbls>
          <c:dLblPos val="inEnd"/>
          <c:showLegendKey val="0"/>
          <c:showVal val="1"/>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45466042325639"/>
          <c:y val="3.998546743432195E-2"/>
          <c:w val="0.39711882137408722"/>
          <c:h val="0.2145488355333640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400" b="1">
                <a:latin typeface="Aptos" panose="020B0004020202020204" pitchFamily="34" charset="0"/>
              </a:rPr>
              <a:t>emissões de GEE</a:t>
            </a:r>
            <a:r>
              <a:rPr lang="en-US" sz="1400" b="1" baseline="0">
                <a:latin typeface="Aptos" panose="020B0004020202020204" pitchFamily="34" charset="0"/>
              </a:rPr>
              <a:t> (sem</a:t>
            </a:r>
            <a:r>
              <a:rPr lang="en-US" sz="1400" b="1">
                <a:latin typeface="Aptos" panose="020B0004020202020204" pitchFamily="34" charset="0"/>
              </a:rPr>
              <a:t> ProdT)</a:t>
            </a:r>
          </a:p>
          <a:p>
            <a:pPr algn="l">
              <a:defRPr>
                <a:latin typeface="Aptos" panose="020B0004020202020204" pitchFamily="34" charset="0"/>
              </a:defRPr>
            </a:pPr>
            <a:r>
              <a:rPr lang="en-US" sz="1400" baseline="0">
                <a:latin typeface="Aptos" panose="020B0004020202020204" pitchFamily="34" charset="0"/>
              </a:rPr>
              <a:t>(tCO2e/ ano)</a:t>
            </a:r>
          </a:p>
        </c:rich>
      </c:tx>
      <c:layout>
        <c:manualLayout>
          <c:xMode val="edge"/>
          <c:yMode val="edge"/>
          <c:x val="8.6268103898112986E-2"/>
          <c:y val="3.630734806900654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428026633610802"/>
          <c:y val="0.34059563296860973"/>
          <c:w val="0.80698741709242805"/>
          <c:h val="0.56423734271955905"/>
        </c:manualLayout>
      </c:layout>
      <c:barChart>
        <c:barDir val="col"/>
        <c:grouping val="clustered"/>
        <c:varyColors val="0"/>
        <c:ser>
          <c:idx val="0"/>
          <c:order val="0"/>
          <c:spPr>
            <a:solidFill>
              <a:schemeClr val="accent6">
                <a:lumMod val="60000"/>
                <a:lumOff val="40000"/>
              </a:schemeClr>
            </a:solidFill>
            <a:ln w="19050">
              <a:solidFill>
                <a:schemeClr val="lt1"/>
              </a:solidFill>
            </a:ln>
            <a:effectLst/>
          </c:spPr>
          <c:invertIfNegative val="0"/>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F1B4-40E7-A3B1-986104BBA447}"/>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F1B4-40E7-A3B1-986104BBA447}"/>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TM2_rodovia!$C$123:$C$125</c:f>
              <c:strCache>
                <c:ptCount val="3"/>
                <c:pt idx="0">
                  <c:v>Re: Emissões Relativas </c:v>
                </c:pt>
                <c:pt idx="1">
                  <c:v>Ab: Emissões Absolutas </c:v>
                </c:pt>
                <c:pt idx="2">
                  <c:v>Be: Emissões de Referência </c:v>
                </c:pt>
              </c:strCache>
            </c:strRef>
          </c:cat>
          <c:val>
            <c:numRef>
              <c:f>TM2_rodovia!$E$123:$E$125</c:f>
              <c:numCache>
                <c:formatCode>#,##0.000</c:formatCode>
                <c:ptCount val="3"/>
                <c:pt idx="0">
                  <c:v>0</c:v>
                </c:pt>
                <c:pt idx="1">
                  <c:v>0</c:v>
                </c:pt>
                <c:pt idx="2">
                  <c:v>0</c:v>
                </c:pt>
              </c:numCache>
            </c:numRef>
          </c:val>
          <c:extLst>
            <c:ext xmlns:c16="http://schemas.microsoft.com/office/drawing/2014/chart" uri="{C3380CC4-5D6E-409C-BE32-E72D297353CC}">
              <c16:uniqueId val="{00000006-F1B4-40E7-A3B1-986104BBA447}"/>
            </c:ext>
          </c:extLst>
        </c:ser>
        <c:dLbls>
          <c:dLblPos val="inEnd"/>
          <c:showLegendKey val="0"/>
          <c:showVal val="1"/>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6208621335992892"/>
          <c:y val="4.2903930181179085E-2"/>
          <c:w val="0.37143310250291212"/>
          <c:h val="0.2087119100396497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400" b="1">
                <a:latin typeface="Aptos" panose="020B0004020202020204" pitchFamily="34" charset="0"/>
              </a:rPr>
              <a:t>emissões de GEE</a:t>
            </a:r>
            <a:r>
              <a:rPr lang="en-US" sz="1400" b="1" baseline="0">
                <a:latin typeface="Aptos" panose="020B0004020202020204" pitchFamily="34" charset="0"/>
              </a:rPr>
              <a:t> (sem</a:t>
            </a:r>
            <a:r>
              <a:rPr lang="en-US" sz="1400" b="1">
                <a:latin typeface="Aptos" panose="020B0004020202020204" pitchFamily="34" charset="0"/>
              </a:rPr>
              <a:t> ProdT)</a:t>
            </a:r>
          </a:p>
          <a:p>
            <a:pPr algn="l">
              <a:defRPr>
                <a:latin typeface="Aptos" panose="020B0004020202020204" pitchFamily="34" charset="0"/>
              </a:defRPr>
            </a:pPr>
            <a:r>
              <a:rPr lang="en-US" sz="1400" baseline="0">
                <a:latin typeface="Aptos" panose="020B0004020202020204" pitchFamily="34" charset="0"/>
              </a:rPr>
              <a:t>(tCO2e/ ano)</a:t>
            </a:r>
          </a:p>
        </c:rich>
      </c:tx>
      <c:layout>
        <c:manualLayout>
          <c:xMode val="edge"/>
          <c:yMode val="edge"/>
          <c:x val="8.6268103898112986E-2"/>
          <c:y val="3.630734806900654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428026633610802"/>
          <c:y val="0.34059563296860973"/>
          <c:w val="0.78025576028121757"/>
          <c:h val="0.57470437351175629"/>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5-DCDB-491D-9C75-1397192B48FE}"/>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1-DCDB-491D-9C75-1397192B48FE}"/>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3-DCDB-491D-9C75-1397192B48FE}"/>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'TM3_ferrovia e metro'!$C$129:$C$131</c:f>
              <c:strCache>
                <c:ptCount val="3"/>
                <c:pt idx="0">
                  <c:v>Re: Emissões Relativas </c:v>
                </c:pt>
                <c:pt idx="1">
                  <c:v>Ab: Emissões Absolutas </c:v>
                </c:pt>
                <c:pt idx="2">
                  <c:v>Be: Emissões de Referência </c:v>
                </c:pt>
              </c:strCache>
            </c:strRef>
          </c:cat>
          <c:val>
            <c:numRef>
              <c:f>'TM3_ferrovia e metro'!$E$129:$E$131</c:f>
              <c:numCache>
                <c:formatCode>#,##0.000</c:formatCode>
                <c:ptCount val="3"/>
                <c:pt idx="0">
                  <c:v>0</c:v>
                </c:pt>
                <c:pt idx="1">
                  <c:v>0</c:v>
                </c:pt>
                <c:pt idx="2">
                  <c:v>0</c:v>
                </c:pt>
              </c:numCache>
            </c:numRef>
          </c:val>
          <c:extLst>
            <c:ext xmlns:c16="http://schemas.microsoft.com/office/drawing/2014/chart" uri="{C3380CC4-5D6E-409C-BE32-E72D297353CC}">
              <c16:uniqueId val="{00000004-DCDB-491D-9C75-1397192B48FE}"/>
            </c:ext>
          </c:extLst>
        </c:ser>
        <c:dLbls>
          <c:dLblPos val="inEnd"/>
          <c:showLegendKey val="0"/>
          <c:showVal val="1"/>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2582402201238743"/>
          <c:y val="2.0454517251791656E-3"/>
          <c:w val="0.39560789673460633"/>
          <c:h val="0.2174672982802211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400" b="1" i="0" u="none" strike="noStrike" kern="1200" spc="0" baseline="0">
                <a:solidFill>
                  <a:sysClr val="windowText" lastClr="000000">
                    <a:lumMod val="65000"/>
                    <a:lumOff val="35000"/>
                  </a:sysClr>
                </a:solidFill>
                <a:latin typeface="Aptos" panose="020B0004020202020204" pitchFamily="34" charset="0"/>
              </a:rPr>
              <a:t>emissões de GEE (sem ProdT)</a:t>
            </a:r>
            <a:endParaRPr lang="en-US" sz="1400">
              <a:latin typeface="Aptos" panose="020B0004020202020204" pitchFamily="34" charset="0"/>
            </a:endParaRPr>
          </a:p>
          <a:p>
            <a:pPr algn="l">
              <a:defRPr>
                <a:latin typeface="Aptos" panose="020B0004020202020204" pitchFamily="34" charset="0"/>
              </a:defRPr>
            </a:pPr>
            <a:r>
              <a:rPr lang="en-US" sz="1400" baseline="0">
                <a:latin typeface="Aptos" panose="020B0004020202020204" pitchFamily="34" charset="0"/>
              </a:rPr>
              <a:t>(tCO2e/ ano)</a:t>
            </a:r>
          </a:p>
        </c:rich>
      </c:tx>
      <c:layout>
        <c:manualLayout>
          <c:xMode val="edge"/>
          <c:yMode val="edge"/>
          <c:x val="8.6268103898112986E-2"/>
          <c:y val="3.630734806900654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428026633610802"/>
          <c:y val="0.28806319804389741"/>
          <c:w val="0.77270115032392328"/>
          <c:h val="0.62723666045651327"/>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A7C8-4742-970C-1C99D400E437}"/>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A7C8-4742-970C-1C99D400E437}"/>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A7C8-4742-970C-1C99D400E437}"/>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385723"/>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'TM4_vias navegáveis interiores'!$C$79:$C$81</c:f>
              <c:strCache>
                <c:ptCount val="3"/>
                <c:pt idx="0">
                  <c:v>Re: Emissões Relativas </c:v>
                </c:pt>
                <c:pt idx="1">
                  <c:v>Ab: Emissões Absolutas </c:v>
                </c:pt>
                <c:pt idx="2">
                  <c:v>Be: Emissões de Referência </c:v>
                </c:pt>
              </c:strCache>
            </c:strRef>
          </c:cat>
          <c:val>
            <c:numRef>
              <c:f>'TM4_vias navegáveis interiores'!$E$79:$E$81</c:f>
              <c:numCache>
                <c:formatCode>0.000</c:formatCode>
                <c:ptCount val="3"/>
                <c:pt idx="0">
                  <c:v>0</c:v>
                </c:pt>
                <c:pt idx="1">
                  <c:v>0</c:v>
                </c:pt>
                <c:pt idx="2">
                  <c:v>0</c:v>
                </c:pt>
              </c:numCache>
            </c:numRef>
          </c:val>
          <c:extLst>
            <c:ext xmlns:c16="http://schemas.microsoft.com/office/drawing/2014/chart" uri="{C3380CC4-5D6E-409C-BE32-E72D297353CC}">
              <c16:uniqueId val="{00000006-A7C8-4742-970C-1C99D400E437}"/>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4963203057587406"/>
          <c:y val="2.0882677884514127E-2"/>
          <c:w val="0.43509254142948656"/>
          <c:h val="0.2204186396509038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sustentavel2030.gov.pt/" TargetMode="External"/><Relationship Id="rId7" Type="http://schemas.openxmlformats.org/officeDocument/2006/relationships/image" Target="../media/image5.sv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4.png"/><Relationship Id="rId11" Type="http://schemas.openxmlformats.org/officeDocument/2006/relationships/image" Target="../media/image8.png"/><Relationship Id="rId5" Type="http://schemas.openxmlformats.org/officeDocument/2006/relationships/hyperlink" Target="#&#237;ndice!A1"/><Relationship Id="rId10" Type="http://schemas.openxmlformats.org/officeDocument/2006/relationships/hyperlink" Target="#'PFs_Instru&#231;&#245;es e PFs'!A1"/><Relationship Id="rId4" Type="http://schemas.openxmlformats.org/officeDocument/2006/relationships/image" Target="../media/image3.png"/><Relationship Id="rId9" Type="http://schemas.openxmlformats.org/officeDocument/2006/relationships/image" Target="../media/image7.svg"/></Relationships>
</file>

<file path=xl/drawings/_rels/drawing10.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hyperlink" Target="#RE_resultados!B49"/><Relationship Id="rId3" Type="http://schemas.openxmlformats.org/officeDocument/2006/relationships/image" Target="../media/image39.svg"/><Relationship Id="rId7" Type="http://schemas.openxmlformats.org/officeDocument/2006/relationships/hyperlink" Target="#'PFs_Instru&#231;&#245;es e PFs'!A1"/><Relationship Id="rId12" Type="http://schemas.openxmlformats.org/officeDocument/2006/relationships/image" Target="../media/image19.svg"/><Relationship Id="rId2" Type="http://schemas.openxmlformats.org/officeDocument/2006/relationships/image" Target="../media/image38.png"/><Relationship Id="rId1" Type="http://schemas.openxmlformats.org/officeDocument/2006/relationships/chart" Target="../charts/chart8.xml"/><Relationship Id="rId6" Type="http://schemas.openxmlformats.org/officeDocument/2006/relationships/image" Target="../media/image15.svg"/><Relationship Id="rId11" Type="http://schemas.openxmlformats.org/officeDocument/2006/relationships/image" Target="../media/image18.png"/><Relationship Id="rId5" Type="http://schemas.openxmlformats.org/officeDocument/2006/relationships/image" Target="../media/image14.png"/><Relationship Id="rId15" Type="http://schemas.openxmlformats.org/officeDocument/2006/relationships/image" Target="../media/image43.svg"/><Relationship Id="rId10" Type="http://schemas.openxmlformats.org/officeDocument/2006/relationships/hyperlink" Target="#TR_Triagem!A1"/><Relationship Id="rId4" Type="http://schemas.openxmlformats.org/officeDocument/2006/relationships/hyperlink" Target="#&#205;ndice!A1"/><Relationship Id="rId9" Type="http://schemas.openxmlformats.org/officeDocument/2006/relationships/image" Target="../media/image17.svg"/><Relationship Id="rId14" Type="http://schemas.openxmlformats.org/officeDocument/2006/relationships/image" Target="../media/image4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hyperlink" Target="#RE_resultados!B49"/><Relationship Id="rId3" Type="http://schemas.openxmlformats.org/officeDocument/2006/relationships/chart" Target="../charts/chart9.xml"/><Relationship Id="rId7" Type="http://schemas.openxmlformats.org/officeDocument/2006/relationships/hyperlink" Target="#'PFs_Instru&#231;&#245;es e PFs'!A1"/><Relationship Id="rId12" Type="http://schemas.openxmlformats.org/officeDocument/2006/relationships/image" Target="../media/image19.svg"/><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15.svg"/><Relationship Id="rId11" Type="http://schemas.openxmlformats.org/officeDocument/2006/relationships/image" Target="../media/image18.png"/><Relationship Id="rId5" Type="http://schemas.openxmlformats.org/officeDocument/2006/relationships/image" Target="../media/image14.png"/><Relationship Id="rId15" Type="http://schemas.openxmlformats.org/officeDocument/2006/relationships/image" Target="../media/image43.svg"/><Relationship Id="rId10" Type="http://schemas.openxmlformats.org/officeDocument/2006/relationships/hyperlink" Target="#TR_Triagem!A1"/><Relationship Id="rId4" Type="http://schemas.openxmlformats.org/officeDocument/2006/relationships/hyperlink" Target="#&#205;ndice!A1"/><Relationship Id="rId9" Type="http://schemas.openxmlformats.org/officeDocument/2006/relationships/image" Target="../media/image17.svg"/><Relationship Id="rId14" Type="http://schemas.openxmlformats.org/officeDocument/2006/relationships/image" Target="../media/image42.png"/></Relationships>
</file>

<file path=xl/drawings/_rels/drawing12.xml.rels><?xml version="1.0" encoding="UTF-8" standalone="yes"?>
<Relationships xmlns="http://schemas.openxmlformats.org/package/2006/relationships"><Relationship Id="rId8" Type="http://schemas.openxmlformats.org/officeDocument/2006/relationships/hyperlink" Target="#'TM1_micromobilidade '!B2"/><Relationship Id="rId13" Type="http://schemas.openxmlformats.org/officeDocument/2006/relationships/image" Target="../media/image49.svg"/><Relationship Id="rId18" Type="http://schemas.openxmlformats.org/officeDocument/2006/relationships/image" Target="../media/image18.png"/><Relationship Id="rId3" Type="http://schemas.openxmlformats.org/officeDocument/2006/relationships/image" Target="../media/image14.png"/><Relationship Id="rId7" Type="http://schemas.openxmlformats.org/officeDocument/2006/relationships/image" Target="../media/image47.svg"/><Relationship Id="rId12" Type="http://schemas.openxmlformats.org/officeDocument/2006/relationships/image" Target="../media/image48.png"/><Relationship Id="rId17" Type="http://schemas.openxmlformats.org/officeDocument/2006/relationships/hyperlink" Target="#TR_Triagem!A1"/><Relationship Id="rId2" Type="http://schemas.openxmlformats.org/officeDocument/2006/relationships/hyperlink" Target="#&#205;ndice!A1"/><Relationship Id="rId16" Type="http://schemas.openxmlformats.org/officeDocument/2006/relationships/image" Target="../media/image17.svg"/><Relationship Id="rId20" Type="http://schemas.openxmlformats.org/officeDocument/2006/relationships/hyperlink" Target="#RE_resultados!B53"/><Relationship Id="rId1" Type="http://schemas.openxmlformats.org/officeDocument/2006/relationships/hyperlink" Target="https://www.google.com/maps/dir/@38.7514368,-11.7050239,7z?hl=en&amp;entry=ttu&amp;g_ep=EgoyMDI1MDcyNy4wIKXMDSoASAFQAw%3D%3D" TargetMode="External"/><Relationship Id="rId6" Type="http://schemas.openxmlformats.org/officeDocument/2006/relationships/image" Target="../media/image46.png"/><Relationship Id="rId11" Type="http://schemas.openxmlformats.org/officeDocument/2006/relationships/image" Target="../media/image43.svg"/><Relationship Id="rId5" Type="http://schemas.openxmlformats.org/officeDocument/2006/relationships/chart" Target="../charts/chart10.xml"/><Relationship Id="rId15" Type="http://schemas.openxmlformats.org/officeDocument/2006/relationships/image" Target="../media/image16.png"/><Relationship Id="rId10" Type="http://schemas.openxmlformats.org/officeDocument/2006/relationships/image" Target="../media/image42.png"/><Relationship Id="rId19" Type="http://schemas.openxmlformats.org/officeDocument/2006/relationships/image" Target="../media/image19.svg"/><Relationship Id="rId4" Type="http://schemas.openxmlformats.org/officeDocument/2006/relationships/image" Target="../media/image15.svg"/><Relationship Id="rId9" Type="http://schemas.openxmlformats.org/officeDocument/2006/relationships/hyperlink" Target="#RE_resultados!B29"/><Relationship Id="rId14" Type="http://schemas.openxmlformats.org/officeDocument/2006/relationships/hyperlink" Target="#'PFs_Instru&#231;&#245;es e PFs'!A1"/></Relationships>
</file>

<file path=xl/drawings/_rels/drawing13.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 Id="rId4"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2" Type="http://schemas.openxmlformats.org/officeDocument/2006/relationships/hyperlink" Target="#'Combust&#227;o Estacion&#225;ria'!A1"/><Relationship Id="rId1" Type="http://schemas.openxmlformats.org/officeDocument/2006/relationships/hyperlink" Target="#Conte&#250;dos!A1"/></Relationships>
</file>

<file path=xl/drawings/_rels/drawing3.xml.rels><?xml version="1.0" encoding="UTF-8" standalone="yes"?>
<Relationships xmlns="http://schemas.openxmlformats.org/package/2006/relationships"><Relationship Id="rId8" Type="http://schemas.openxmlformats.org/officeDocument/2006/relationships/hyperlink" Target="#'IC_todos os projetos'!A1"/><Relationship Id="rId13" Type="http://schemas.openxmlformats.org/officeDocument/2006/relationships/hyperlink" Target="#'TM5_parques de estacionamento'!A1"/><Relationship Id="rId18" Type="http://schemas.openxmlformats.org/officeDocument/2006/relationships/hyperlink" Target="#Gloss&#225;rio!A1"/><Relationship Id="rId3" Type="http://schemas.openxmlformats.org/officeDocument/2006/relationships/image" Target="../media/image10.png"/><Relationship Id="rId21" Type="http://schemas.openxmlformats.org/officeDocument/2006/relationships/image" Target="../media/image12.png"/><Relationship Id="rId7" Type="http://schemas.openxmlformats.org/officeDocument/2006/relationships/hyperlink" Target="#'TM1_micromobilidade '!A1"/><Relationship Id="rId12" Type="http://schemas.openxmlformats.org/officeDocument/2006/relationships/hyperlink" Target="#'ID_Identifica&#231;&#227;o do projeto'!A1"/><Relationship Id="rId17" Type="http://schemas.openxmlformats.org/officeDocument/2006/relationships/hyperlink" Target="#'Fatores de Emiss&#227;o'!A1"/><Relationship Id="rId2" Type="http://schemas.openxmlformats.org/officeDocument/2006/relationships/image" Target="../media/image2.emf"/><Relationship Id="rId16" Type="http://schemas.openxmlformats.org/officeDocument/2006/relationships/hyperlink" Target="#'Fatores de Convers&#227;o'!A1"/><Relationship Id="rId20" Type="http://schemas.openxmlformats.org/officeDocument/2006/relationships/hyperlink" Target="#&#205;ndice!A1"/><Relationship Id="rId1" Type="http://schemas.openxmlformats.org/officeDocument/2006/relationships/image" Target="../media/image9.jpeg"/><Relationship Id="rId6" Type="http://schemas.openxmlformats.org/officeDocument/2006/relationships/hyperlink" Target="#TR_triagem!A1"/><Relationship Id="rId11" Type="http://schemas.openxmlformats.org/officeDocument/2006/relationships/hyperlink" Target="#'TM4_vias naveg&#225;veis interiores'!A1"/><Relationship Id="rId5" Type="http://schemas.openxmlformats.org/officeDocument/2006/relationships/hyperlink" Target="#'PFs_Instru&#231;&#245;es e PFs'!A1"/><Relationship Id="rId15" Type="http://schemas.openxmlformats.org/officeDocument/2006/relationships/hyperlink" Target="#'C&#225;lculos adicionais_utilizador'!A1"/><Relationship Id="rId10" Type="http://schemas.openxmlformats.org/officeDocument/2006/relationships/hyperlink" Target="#'TM3_ferrovia e metro'!A1"/><Relationship Id="rId19" Type="http://schemas.openxmlformats.org/officeDocument/2006/relationships/hyperlink" Target="#'Ficha t&#233;cnica+ atualiza&#231;&#245;es'!A1"/><Relationship Id="rId4" Type="http://schemas.openxmlformats.org/officeDocument/2006/relationships/image" Target="../media/image11.svg"/><Relationship Id="rId9" Type="http://schemas.openxmlformats.org/officeDocument/2006/relationships/hyperlink" Target="#TM2_rodovia!A1"/><Relationship Id="rId14" Type="http://schemas.openxmlformats.org/officeDocument/2006/relationships/hyperlink" Target="#RE_resultados!A1"/><Relationship Id="rId22" Type="http://schemas.openxmlformats.org/officeDocument/2006/relationships/image" Target="../media/image13.svg"/></Relationships>
</file>

<file path=xl/drawings/_rels/drawing4.xml.rels><?xml version="1.0" encoding="UTF-8" standalone="yes"?>
<Relationships xmlns="http://schemas.openxmlformats.org/package/2006/relationships"><Relationship Id="rId8" Type="http://schemas.openxmlformats.org/officeDocument/2006/relationships/hyperlink" Target="#'PFs_Instru&#231;&#245;es e PFs'!B81"/><Relationship Id="rId3" Type="http://schemas.openxmlformats.org/officeDocument/2006/relationships/hyperlink" Target="#&#205;ndice!A1"/><Relationship Id="rId7" Type="http://schemas.openxmlformats.org/officeDocument/2006/relationships/hyperlink" Target="#'PFs_Instru&#231;&#245;es e PFs'!B53"/><Relationship Id="rId2" Type="http://schemas.openxmlformats.org/officeDocument/2006/relationships/hyperlink" Target="#'PFs_Instru&#231;&#245;es e PFs'!B16"/><Relationship Id="rId1" Type="http://schemas.openxmlformats.org/officeDocument/2006/relationships/image" Target="../media/image2.emf"/><Relationship Id="rId6" Type="http://schemas.openxmlformats.org/officeDocument/2006/relationships/image" Target="../media/image8.png"/><Relationship Id="rId5" Type="http://schemas.openxmlformats.org/officeDocument/2006/relationships/image" Target="../media/image15.svg"/><Relationship Id="rId4" Type="http://schemas.openxmlformats.org/officeDocument/2006/relationships/image" Target="../media/image14.png"/><Relationship Id="rId9" Type="http://schemas.openxmlformats.org/officeDocument/2006/relationships/hyperlink" Target="#'PFs_Instru&#231;&#245;es e PFs'!A130"/></Relationships>
</file>

<file path=xl/drawings/_rels/drawing5.xml.rels><?xml version="1.0" encoding="UTF-8" standalone="yes"?>
<Relationships xmlns="http://schemas.openxmlformats.org/package/2006/relationships"><Relationship Id="rId8" Type="http://schemas.openxmlformats.org/officeDocument/2006/relationships/image" Target="../media/image19.svg"/><Relationship Id="rId3" Type="http://schemas.openxmlformats.org/officeDocument/2006/relationships/image" Target="../media/image15.sv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hyperlink" Target="#&#205;ndice!A1"/><Relationship Id="rId6" Type="http://schemas.openxmlformats.org/officeDocument/2006/relationships/image" Target="../media/image17.svg"/><Relationship Id="rId5" Type="http://schemas.openxmlformats.org/officeDocument/2006/relationships/image" Target="../media/image16.png"/><Relationship Id="rId4" Type="http://schemas.openxmlformats.org/officeDocument/2006/relationships/hyperlink" Target="#'PFs_Instru&#231;&#245;es e PFs'!A1"/></Relationships>
</file>

<file path=xl/drawings/_rels/drawing6.xml.rels><?xml version="1.0" encoding="UTF-8" standalone="yes"?>
<Relationships xmlns="http://schemas.openxmlformats.org/package/2006/relationships"><Relationship Id="rId8" Type="http://schemas.openxmlformats.org/officeDocument/2006/relationships/hyperlink" Target="#TR_triagem!A1"/><Relationship Id="rId13" Type="http://schemas.openxmlformats.org/officeDocument/2006/relationships/image" Target="../media/image21.svg"/><Relationship Id="rId3" Type="http://schemas.openxmlformats.org/officeDocument/2006/relationships/image" Target="../media/image15.svg"/><Relationship Id="rId7" Type="http://schemas.openxmlformats.org/officeDocument/2006/relationships/hyperlink" Target="#'PFs_Instru&#231;&#245;es e PFs'!A1"/><Relationship Id="rId12" Type="http://schemas.openxmlformats.org/officeDocument/2006/relationships/image" Target="../media/image20.png"/><Relationship Id="rId2" Type="http://schemas.openxmlformats.org/officeDocument/2006/relationships/image" Target="../media/image14.png"/><Relationship Id="rId1" Type="http://schemas.openxmlformats.org/officeDocument/2006/relationships/hyperlink" Target="#&#237;ndice!A1"/><Relationship Id="rId6" Type="http://schemas.openxmlformats.org/officeDocument/2006/relationships/image" Target="../media/image17.svg"/><Relationship Id="rId11" Type="http://schemas.openxmlformats.org/officeDocument/2006/relationships/image" Target="../media/image19.svg"/><Relationship Id="rId5" Type="http://schemas.openxmlformats.org/officeDocument/2006/relationships/image" Target="../media/image16.png"/><Relationship Id="rId10" Type="http://schemas.openxmlformats.org/officeDocument/2006/relationships/image" Target="../media/image18.png"/><Relationship Id="rId4" Type="http://schemas.openxmlformats.org/officeDocument/2006/relationships/hyperlink" Target="#'Instru&#231;&#245;es e PFs'!A1"/><Relationship Id="rId9" Type="http://schemas.openxmlformats.org/officeDocument/2006/relationships/hyperlink" Target="#&#205;ndice!A1"/></Relationships>
</file>

<file path=xl/drawings/_rels/drawing7.xml.rels><?xml version="1.0" encoding="UTF-8" standalone="yes"?>
<Relationships xmlns="http://schemas.openxmlformats.org/package/2006/relationships"><Relationship Id="rId13" Type="http://schemas.openxmlformats.org/officeDocument/2006/relationships/image" Target="../media/image32.png"/><Relationship Id="rId18" Type="http://schemas.openxmlformats.org/officeDocument/2006/relationships/chart" Target="../charts/chart2.xml"/><Relationship Id="rId26" Type="http://schemas.openxmlformats.org/officeDocument/2006/relationships/chart" Target="../charts/chart5.xml"/><Relationship Id="rId21" Type="http://schemas.openxmlformats.org/officeDocument/2006/relationships/chart" Target="../charts/chart4.xml"/><Relationship Id="rId34" Type="http://schemas.openxmlformats.org/officeDocument/2006/relationships/image" Target="../media/image17.svg"/><Relationship Id="rId7" Type="http://schemas.openxmlformats.org/officeDocument/2006/relationships/image" Target="../media/image28.png"/><Relationship Id="rId12" Type="http://schemas.openxmlformats.org/officeDocument/2006/relationships/image" Target="../media/image11.svg"/><Relationship Id="rId17" Type="http://schemas.openxmlformats.org/officeDocument/2006/relationships/chart" Target="../charts/chart1.xml"/><Relationship Id="rId25" Type="http://schemas.openxmlformats.org/officeDocument/2006/relationships/image" Target="../media/image39.svg"/><Relationship Id="rId33" Type="http://schemas.openxmlformats.org/officeDocument/2006/relationships/image" Target="../media/image16.png"/><Relationship Id="rId38" Type="http://schemas.openxmlformats.org/officeDocument/2006/relationships/image" Target="../media/image19.svg"/><Relationship Id="rId2" Type="http://schemas.openxmlformats.org/officeDocument/2006/relationships/image" Target="../media/image23.svg"/><Relationship Id="rId16" Type="http://schemas.openxmlformats.org/officeDocument/2006/relationships/image" Target="../media/image35.svg"/><Relationship Id="rId20" Type="http://schemas.openxmlformats.org/officeDocument/2006/relationships/hyperlink" Target="https://apambiente.pt/clima/fator-de-emissao-de-gases-de-efeito-de-estufa-para-eletricidade-produzida-em-portugal" TargetMode="External"/><Relationship Id="rId29" Type="http://schemas.openxmlformats.org/officeDocument/2006/relationships/hyperlink" Target="#&#205;ndice!A1"/><Relationship Id="rId1" Type="http://schemas.openxmlformats.org/officeDocument/2006/relationships/image" Target="../media/image22.png"/><Relationship Id="rId6" Type="http://schemas.openxmlformats.org/officeDocument/2006/relationships/image" Target="../media/image27.svg"/><Relationship Id="rId11" Type="http://schemas.openxmlformats.org/officeDocument/2006/relationships/image" Target="../media/image10.png"/><Relationship Id="rId24" Type="http://schemas.openxmlformats.org/officeDocument/2006/relationships/image" Target="../media/image38.png"/><Relationship Id="rId32" Type="http://schemas.openxmlformats.org/officeDocument/2006/relationships/hyperlink" Target="#'Instru&#231;&#245;es e PFs'!A1"/><Relationship Id="rId37" Type="http://schemas.openxmlformats.org/officeDocument/2006/relationships/image" Target="../media/image18.png"/><Relationship Id="rId5" Type="http://schemas.openxmlformats.org/officeDocument/2006/relationships/image" Target="../media/image26.png"/><Relationship Id="rId15" Type="http://schemas.openxmlformats.org/officeDocument/2006/relationships/image" Target="../media/image34.png"/><Relationship Id="rId23" Type="http://schemas.openxmlformats.org/officeDocument/2006/relationships/image" Target="../media/image37.svg"/><Relationship Id="rId28" Type="http://schemas.openxmlformats.org/officeDocument/2006/relationships/image" Target="../media/image41.svg"/><Relationship Id="rId36" Type="http://schemas.openxmlformats.org/officeDocument/2006/relationships/hyperlink" Target="#TR_Triagem!A1"/><Relationship Id="rId10" Type="http://schemas.openxmlformats.org/officeDocument/2006/relationships/image" Target="../media/image31.svg"/><Relationship Id="rId19" Type="http://schemas.openxmlformats.org/officeDocument/2006/relationships/chart" Target="../charts/chart3.xml"/><Relationship Id="rId31" Type="http://schemas.openxmlformats.org/officeDocument/2006/relationships/image" Target="../media/image15.svg"/><Relationship Id="rId4" Type="http://schemas.openxmlformats.org/officeDocument/2006/relationships/image" Target="../media/image25.svg"/><Relationship Id="rId9" Type="http://schemas.openxmlformats.org/officeDocument/2006/relationships/image" Target="../media/image30.png"/><Relationship Id="rId14" Type="http://schemas.openxmlformats.org/officeDocument/2006/relationships/image" Target="../media/image33.svg"/><Relationship Id="rId22" Type="http://schemas.openxmlformats.org/officeDocument/2006/relationships/image" Target="../media/image36.png"/><Relationship Id="rId27" Type="http://schemas.openxmlformats.org/officeDocument/2006/relationships/image" Target="../media/image40.png"/><Relationship Id="rId30" Type="http://schemas.openxmlformats.org/officeDocument/2006/relationships/image" Target="../media/image14.png"/><Relationship Id="rId35" Type="http://schemas.openxmlformats.org/officeDocument/2006/relationships/hyperlink" Target="#'PFs_Instru&#231;&#245;es e PFs'!A1"/><Relationship Id="rId8" Type="http://schemas.openxmlformats.org/officeDocument/2006/relationships/image" Target="../media/image29.svg"/><Relationship Id="rId3" Type="http://schemas.openxmlformats.org/officeDocument/2006/relationships/image" Target="../media/image24.png"/></Relationships>
</file>

<file path=xl/drawings/_rels/drawing8.xml.rels><?xml version="1.0" encoding="UTF-8" standalone="yes"?>
<Relationships xmlns="http://schemas.openxmlformats.org/package/2006/relationships"><Relationship Id="rId8" Type="http://schemas.openxmlformats.org/officeDocument/2006/relationships/hyperlink" Target="#&#205;ndice!A1"/><Relationship Id="rId13" Type="http://schemas.openxmlformats.org/officeDocument/2006/relationships/image" Target="../media/image17.svg"/><Relationship Id="rId3" Type="http://schemas.openxmlformats.org/officeDocument/2006/relationships/hyperlink" Target="https://www.google.com/maps/dir/@38.7514368,-11.7050239,7z?hl=en&amp;entry=ttu&amp;g_ep=EgoyMDI1MDcyNy4wIKXMDSoASAFQAw%3D%3D" TargetMode="External"/><Relationship Id="rId7" Type="http://schemas.openxmlformats.org/officeDocument/2006/relationships/image" Target="../media/image43.svg"/><Relationship Id="rId12" Type="http://schemas.openxmlformats.org/officeDocument/2006/relationships/image" Target="../media/image16.png"/><Relationship Id="rId17" Type="http://schemas.openxmlformats.org/officeDocument/2006/relationships/image" Target="../media/image19.svg"/><Relationship Id="rId2" Type="http://schemas.openxmlformats.org/officeDocument/2006/relationships/image" Target="../media/image31.svg"/><Relationship Id="rId16" Type="http://schemas.openxmlformats.org/officeDocument/2006/relationships/image" Target="../media/image18.png"/><Relationship Id="rId1" Type="http://schemas.openxmlformats.org/officeDocument/2006/relationships/image" Target="../media/image30.png"/><Relationship Id="rId6" Type="http://schemas.openxmlformats.org/officeDocument/2006/relationships/image" Target="../media/image42.png"/><Relationship Id="rId11" Type="http://schemas.openxmlformats.org/officeDocument/2006/relationships/hyperlink" Target="#'Instru&#231;&#245;es e PFs'!A1"/><Relationship Id="rId5" Type="http://schemas.openxmlformats.org/officeDocument/2006/relationships/hyperlink" Target="#RE_resultados!B49"/><Relationship Id="rId15" Type="http://schemas.openxmlformats.org/officeDocument/2006/relationships/hyperlink" Target="#TR_Triagem!A1"/><Relationship Id="rId10" Type="http://schemas.openxmlformats.org/officeDocument/2006/relationships/image" Target="../media/image15.svg"/><Relationship Id="rId4" Type="http://schemas.openxmlformats.org/officeDocument/2006/relationships/chart" Target="../charts/chart6.xml"/><Relationship Id="rId9" Type="http://schemas.openxmlformats.org/officeDocument/2006/relationships/image" Target="../media/image14.png"/><Relationship Id="rId14" Type="http://schemas.openxmlformats.org/officeDocument/2006/relationships/hyperlink" Target="#'PFs_Instru&#231;&#245;es e PFs'!A1"/></Relationships>
</file>

<file path=xl/drawings/_rels/drawing9.xml.rels><?xml version="1.0" encoding="UTF-8" standalone="yes"?>
<Relationships xmlns="http://schemas.openxmlformats.org/package/2006/relationships"><Relationship Id="rId8" Type="http://schemas.openxmlformats.org/officeDocument/2006/relationships/hyperlink" Target="#RE_resultados!A1"/><Relationship Id="rId13" Type="http://schemas.openxmlformats.org/officeDocument/2006/relationships/hyperlink" Target="#TR_Triagem!A1"/><Relationship Id="rId18" Type="http://schemas.openxmlformats.org/officeDocument/2006/relationships/image" Target="../media/image36.png"/><Relationship Id="rId3" Type="http://schemas.openxmlformats.org/officeDocument/2006/relationships/image" Target="../media/image44.png"/><Relationship Id="rId7" Type="http://schemas.openxmlformats.org/officeDocument/2006/relationships/image" Target="../media/image15.svg"/><Relationship Id="rId12" Type="http://schemas.openxmlformats.org/officeDocument/2006/relationships/image" Target="../media/image17.svg"/><Relationship Id="rId17" Type="http://schemas.openxmlformats.org/officeDocument/2006/relationships/image" Target="../media/image43.svg"/><Relationship Id="rId2" Type="http://schemas.openxmlformats.org/officeDocument/2006/relationships/hyperlink" Target="#M4_Resultados!A1"/><Relationship Id="rId16" Type="http://schemas.openxmlformats.org/officeDocument/2006/relationships/image" Target="../media/image42.png"/><Relationship Id="rId1" Type="http://schemas.openxmlformats.org/officeDocument/2006/relationships/hyperlink" Target="#RE_resultados!B49"/><Relationship Id="rId6" Type="http://schemas.openxmlformats.org/officeDocument/2006/relationships/image" Target="../media/image14.png"/><Relationship Id="rId11" Type="http://schemas.openxmlformats.org/officeDocument/2006/relationships/image" Target="../media/image16.png"/><Relationship Id="rId5" Type="http://schemas.openxmlformats.org/officeDocument/2006/relationships/hyperlink" Target="#&#205;ndice!A1"/><Relationship Id="rId15" Type="http://schemas.openxmlformats.org/officeDocument/2006/relationships/image" Target="../media/image19.svg"/><Relationship Id="rId10" Type="http://schemas.openxmlformats.org/officeDocument/2006/relationships/hyperlink" Target="#'PFs_Instru&#231;&#245;es e PFs'!A1"/><Relationship Id="rId19" Type="http://schemas.openxmlformats.org/officeDocument/2006/relationships/image" Target="../media/image37.svg"/><Relationship Id="rId4" Type="http://schemas.openxmlformats.org/officeDocument/2006/relationships/image" Target="../media/image45.svg"/><Relationship Id="rId9" Type="http://schemas.openxmlformats.org/officeDocument/2006/relationships/chart" Target="../charts/chart7.xml"/><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95252</xdr:rowOff>
    </xdr:from>
    <xdr:to>
      <xdr:col>24</xdr:col>
      <xdr:colOff>371475</xdr:colOff>
      <xdr:row>28</xdr:row>
      <xdr:rowOff>123825</xdr:rowOff>
    </xdr:to>
    <xdr:pic>
      <xdr:nvPicPr>
        <xdr:cNvPr id="2" name="Picture 1" descr="Person sitting on bus">
          <a:extLst>
            <a:ext uri="{FF2B5EF4-FFF2-40B4-BE49-F238E27FC236}">
              <a16:creationId xmlns:a16="http://schemas.microsoft.com/office/drawing/2014/main" id="{F07B19D2-510C-4B13-B241-4E480E9B3C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559"/>
        <a:stretch>
          <a:fillRect/>
        </a:stretch>
      </xdr:blipFill>
      <xdr:spPr>
        <a:xfrm>
          <a:off x="0" y="95252"/>
          <a:ext cx="14544675" cy="7619998"/>
        </a:xfrm>
        <a:prstGeom prst="rect">
          <a:avLst/>
        </a:prstGeom>
      </xdr:spPr>
    </xdr:pic>
    <xdr:clientData/>
  </xdr:twoCellAnchor>
  <xdr:twoCellAnchor>
    <xdr:from>
      <xdr:col>0</xdr:col>
      <xdr:colOff>0</xdr:colOff>
      <xdr:row>0</xdr:row>
      <xdr:rowOff>0</xdr:rowOff>
    </xdr:from>
    <xdr:to>
      <xdr:col>25</xdr:col>
      <xdr:colOff>372537</xdr:colOff>
      <xdr:row>6</xdr:row>
      <xdr:rowOff>143932</xdr:rowOff>
    </xdr:to>
    <xdr:sp macro="" textlink="">
      <xdr:nvSpPr>
        <xdr:cNvPr id="3" name="Rectangle 2">
          <a:extLst>
            <a:ext uri="{FF2B5EF4-FFF2-40B4-BE49-F238E27FC236}">
              <a16:creationId xmlns:a16="http://schemas.microsoft.com/office/drawing/2014/main" id="{217C94A6-1BC7-4E4F-A94C-C268324DBB08}"/>
            </a:ext>
          </a:extLst>
        </xdr:cNvPr>
        <xdr:cNvSpPr/>
      </xdr:nvSpPr>
      <xdr:spPr>
        <a:xfrm>
          <a:off x="0" y="0"/>
          <a:ext cx="15340394" cy="1515532"/>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22</xdr:col>
      <xdr:colOff>354874</xdr:colOff>
      <xdr:row>11</xdr:row>
      <xdr:rowOff>0</xdr:rowOff>
    </xdr:from>
    <xdr:to>
      <xdr:col>22</xdr:col>
      <xdr:colOff>354874</xdr:colOff>
      <xdr:row>36</xdr:row>
      <xdr:rowOff>89261</xdr:rowOff>
    </xdr:to>
    <xdr:pic>
      <xdr:nvPicPr>
        <xdr:cNvPr id="4" name="Picture 3">
          <a:extLst>
            <a:ext uri="{FF2B5EF4-FFF2-40B4-BE49-F238E27FC236}">
              <a16:creationId xmlns:a16="http://schemas.microsoft.com/office/drawing/2014/main" id="{F53114D4-1E3C-4481-B952-8C433C7923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30794" y="2583180"/>
          <a:ext cx="0" cy="6558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314887</xdr:colOff>
      <xdr:row>0</xdr:row>
      <xdr:rowOff>0</xdr:rowOff>
    </xdr:from>
    <xdr:to>
      <xdr:col>16</xdr:col>
      <xdr:colOff>304800</xdr:colOff>
      <xdr:row>6</xdr:row>
      <xdr:rowOff>4354</xdr:rowOff>
    </xdr:to>
    <xdr:grpSp>
      <xdr:nvGrpSpPr>
        <xdr:cNvPr id="5" name="Group 4">
          <a:extLst>
            <a:ext uri="{FF2B5EF4-FFF2-40B4-BE49-F238E27FC236}">
              <a16:creationId xmlns:a16="http://schemas.microsoft.com/office/drawing/2014/main" id="{3455E526-8B6F-4DFC-88D9-53A5820A2CBA}"/>
            </a:ext>
          </a:extLst>
        </xdr:cNvPr>
        <xdr:cNvGrpSpPr/>
      </xdr:nvGrpSpPr>
      <xdr:grpSpPr>
        <a:xfrm>
          <a:off x="314887" y="0"/>
          <a:ext cx="9324413" cy="1433104"/>
          <a:chOff x="420546" y="647283"/>
          <a:chExt cx="10262207" cy="1139559"/>
        </a:xfrm>
      </xdr:grpSpPr>
      <xdr:sp macro="" textlink="">
        <xdr:nvSpPr>
          <xdr:cNvPr id="6" name="CaixaDeTexto 10">
            <a:extLst>
              <a:ext uri="{FF2B5EF4-FFF2-40B4-BE49-F238E27FC236}">
                <a16:creationId xmlns:a16="http://schemas.microsoft.com/office/drawing/2014/main" id="{64265DCF-3327-C955-F1B3-4E04593BFA9B}"/>
              </a:ext>
            </a:extLst>
          </xdr:cNvPr>
          <xdr:cNvSpPr txBox="1"/>
        </xdr:nvSpPr>
        <xdr:spPr>
          <a:xfrm>
            <a:off x="420546" y="647283"/>
            <a:ext cx="10262207" cy="1139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PT" sz="5400" b="1">
                <a:solidFill>
                  <a:srgbClr val="02A39C"/>
                </a:solidFill>
                <a:latin typeface="+mn-lt"/>
                <a:cs typeface="Poppins" panose="00000500000000000000" pitchFamily="2" charset="0"/>
              </a:rPr>
              <a:t>GEE_mobilidade</a:t>
            </a:r>
            <a:r>
              <a:rPr lang="pt-PT" sz="5400" b="1" baseline="0">
                <a:solidFill>
                  <a:srgbClr val="02A39C"/>
                </a:solidFill>
                <a:latin typeface="+mn-lt"/>
                <a:cs typeface="Poppins" panose="00000500000000000000" pitchFamily="2" charset="0"/>
              </a:rPr>
              <a:t> </a:t>
            </a:r>
            <a:endParaRPr lang="pt-PT" sz="5400" b="1">
              <a:solidFill>
                <a:srgbClr val="02A39C"/>
              </a:solidFill>
              <a:latin typeface="+mn-lt"/>
              <a:cs typeface="Poppins" panose="00000500000000000000" pitchFamily="2" charset="0"/>
            </a:endParaRPr>
          </a:p>
          <a:p>
            <a:r>
              <a:rPr lang="pt-PT" sz="2800" b="1">
                <a:solidFill>
                  <a:schemeClr val="accent6">
                    <a:lumMod val="60000"/>
                    <a:lumOff val="40000"/>
                  </a:schemeClr>
                </a:solidFill>
                <a:latin typeface="+mn-lt"/>
                <a:cs typeface="Poppins" panose="00000500000000000000" pitchFamily="2" charset="0"/>
              </a:rPr>
              <a:t>Calculadora de</a:t>
            </a:r>
            <a:r>
              <a:rPr lang="pt-PT" sz="2800" b="1" baseline="0">
                <a:solidFill>
                  <a:schemeClr val="accent6">
                    <a:lumMod val="60000"/>
                    <a:lumOff val="40000"/>
                  </a:schemeClr>
                </a:solidFill>
                <a:latin typeface="+mn-lt"/>
                <a:cs typeface="Poppins" panose="00000500000000000000" pitchFamily="2" charset="0"/>
              </a:rPr>
              <a:t> </a:t>
            </a:r>
            <a:r>
              <a:rPr lang="pt-PT" sz="2800" b="1">
                <a:solidFill>
                  <a:schemeClr val="accent6">
                    <a:lumMod val="60000"/>
                    <a:lumOff val="40000"/>
                  </a:schemeClr>
                </a:solidFill>
                <a:latin typeface="+mn-lt"/>
                <a:ea typeface="+mn-ea"/>
                <a:cs typeface="Poppins" panose="00000500000000000000" pitchFamily="2" charset="0"/>
              </a:rPr>
              <a:t>GEE para projetos de mobilidade urbana</a:t>
            </a:r>
          </a:p>
        </xdr:txBody>
      </xdr:sp>
      <xdr:sp macro="" textlink="">
        <xdr:nvSpPr>
          <xdr:cNvPr id="7" name="CaixaDeTexto 14">
            <a:extLst>
              <a:ext uri="{FF2B5EF4-FFF2-40B4-BE49-F238E27FC236}">
                <a16:creationId xmlns:a16="http://schemas.microsoft.com/office/drawing/2014/main" id="{A8A11DFC-E639-599D-89C2-5E5E00A944EB}"/>
              </a:ext>
            </a:extLst>
          </xdr:cNvPr>
          <xdr:cNvSpPr txBox="1"/>
        </xdr:nvSpPr>
        <xdr:spPr>
          <a:xfrm>
            <a:off x="5687626" y="801066"/>
            <a:ext cx="1431490" cy="533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100" b="0">
                <a:solidFill>
                  <a:sysClr val="windowText" lastClr="000000"/>
                </a:solidFill>
                <a:latin typeface="Poppins" panose="00000500000000000000" pitchFamily="2" charset="0"/>
                <a:cs typeface="Poppins" panose="00000500000000000000" pitchFamily="2" charset="0"/>
              </a:rPr>
              <a:t>Versão de</a:t>
            </a:r>
          </a:p>
          <a:p>
            <a:r>
              <a:rPr lang="pt-PT" sz="1100" b="0">
                <a:solidFill>
                  <a:sysClr val="windowText" lastClr="000000"/>
                </a:solidFill>
                <a:latin typeface="Poppins" panose="00000500000000000000" pitchFamily="2" charset="0"/>
                <a:cs typeface="Poppins" panose="00000500000000000000" pitchFamily="2" charset="0"/>
              </a:rPr>
              <a:t>Outubro 2025</a:t>
            </a:r>
          </a:p>
        </xdr:txBody>
      </xdr:sp>
    </xdr:grpSp>
    <xdr:clientData/>
  </xdr:twoCellAnchor>
  <xdr:twoCellAnchor>
    <xdr:from>
      <xdr:col>0</xdr:col>
      <xdr:colOff>85042</xdr:colOff>
      <xdr:row>6</xdr:row>
      <xdr:rowOff>145676</xdr:rowOff>
    </xdr:from>
    <xdr:to>
      <xdr:col>13</xdr:col>
      <xdr:colOff>180975</xdr:colOff>
      <xdr:row>28</xdr:row>
      <xdr:rowOff>28574</xdr:rowOff>
    </xdr:to>
    <xdr:sp macro="" textlink="">
      <xdr:nvSpPr>
        <xdr:cNvPr id="8" name="Flowchart: Alternative Process 7">
          <a:extLst>
            <a:ext uri="{FF2B5EF4-FFF2-40B4-BE49-F238E27FC236}">
              <a16:creationId xmlns:a16="http://schemas.microsoft.com/office/drawing/2014/main" id="{B06571B7-1DF9-4583-A5F2-64924019BA46}"/>
            </a:ext>
          </a:extLst>
        </xdr:cNvPr>
        <xdr:cNvSpPr/>
      </xdr:nvSpPr>
      <xdr:spPr>
        <a:xfrm>
          <a:off x="85042" y="1517276"/>
          <a:ext cx="7773083" cy="6102723"/>
        </a:xfrm>
        <a:prstGeom prst="flowChartAlternateProcess">
          <a:avLst/>
        </a:prstGeom>
        <a:solidFill>
          <a:srgbClr val="A3D9FF">
            <a:alpha val="85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400">
            <a:solidFill>
              <a:srgbClr val="01635E"/>
            </a:solidFill>
            <a:latin typeface="Aptos" panose="020B0004020202020204" pitchFamily="34" charset="0"/>
          </a:endParaRPr>
        </a:p>
      </xdr:txBody>
    </xdr:sp>
    <xdr:clientData/>
  </xdr:twoCellAnchor>
  <xdr:twoCellAnchor editAs="oneCell">
    <xdr:from>
      <xdr:col>16</xdr:col>
      <xdr:colOff>421062</xdr:colOff>
      <xdr:row>1</xdr:row>
      <xdr:rowOff>146050</xdr:rowOff>
    </xdr:from>
    <xdr:to>
      <xdr:col>25</xdr:col>
      <xdr:colOff>323090</xdr:colOff>
      <xdr:row>4</xdr:row>
      <xdr:rowOff>63512</xdr:rowOff>
    </xdr:to>
    <xdr:pic>
      <xdr:nvPicPr>
        <xdr:cNvPr id="9" name="Picture 8">
          <a:hlinkClick xmlns:r="http://schemas.openxmlformats.org/officeDocument/2006/relationships" r:id="rId3"/>
          <a:extLst>
            <a:ext uri="{FF2B5EF4-FFF2-40B4-BE49-F238E27FC236}">
              <a16:creationId xmlns:a16="http://schemas.microsoft.com/office/drawing/2014/main" id="{9B1874A0-B4A8-4193-AB0D-D8AE04B79A73}"/>
            </a:ext>
          </a:extLst>
        </xdr:cNvPr>
        <xdr:cNvPicPr>
          <a:picLocks noChangeAspect="1"/>
        </xdr:cNvPicPr>
      </xdr:nvPicPr>
      <xdr:blipFill>
        <a:blip xmlns:r="http://schemas.openxmlformats.org/officeDocument/2006/relationships" r:embed="rId4"/>
        <a:stretch>
          <a:fillRect/>
        </a:stretch>
      </xdr:blipFill>
      <xdr:spPr>
        <a:xfrm>
          <a:off x="9869862" y="374650"/>
          <a:ext cx="5216978" cy="603262"/>
        </a:xfrm>
        <a:prstGeom prst="rect">
          <a:avLst/>
        </a:prstGeom>
      </xdr:spPr>
    </xdr:pic>
    <xdr:clientData/>
  </xdr:twoCellAnchor>
  <xdr:twoCellAnchor>
    <xdr:from>
      <xdr:col>1</xdr:col>
      <xdr:colOff>205978</xdr:colOff>
      <xdr:row>7</xdr:row>
      <xdr:rowOff>15198</xdr:rowOff>
    </xdr:from>
    <xdr:to>
      <xdr:col>11</xdr:col>
      <xdr:colOff>253999</xdr:colOff>
      <xdr:row>27</xdr:row>
      <xdr:rowOff>76199</xdr:rowOff>
    </xdr:to>
    <xdr:sp macro="" textlink="">
      <xdr:nvSpPr>
        <xdr:cNvPr id="11" name="TextBox 10">
          <a:extLst>
            <a:ext uri="{FF2B5EF4-FFF2-40B4-BE49-F238E27FC236}">
              <a16:creationId xmlns:a16="http://schemas.microsoft.com/office/drawing/2014/main" id="{5C594028-ED58-4A71-9BBE-81CC0F75BEB8}"/>
            </a:ext>
          </a:extLst>
        </xdr:cNvPr>
        <xdr:cNvSpPr txBox="1"/>
      </xdr:nvSpPr>
      <xdr:spPr>
        <a:xfrm>
          <a:off x="802878" y="1615398"/>
          <a:ext cx="6017021" cy="5877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i="0">
              <a:solidFill>
                <a:srgbClr val="01635E"/>
              </a:solidFill>
              <a:effectLst/>
              <a:latin typeface="Aptos" panose="020B0004020202020204" pitchFamily="34" charset="0"/>
              <a:ea typeface="+mn-ea"/>
              <a:cs typeface="+mn-cs"/>
            </a:rPr>
            <a:t>Enquadramento</a:t>
          </a:r>
        </a:p>
        <a:p>
          <a:endParaRPr lang="en-GB" sz="2400">
            <a:solidFill>
              <a:srgbClr val="01635E"/>
            </a:solidFill>
            <a:effectLst/>
            <a:latin typeface="Aptos" panose="020B0004020202020204" pitchFamily="34" charset="0"/>
          </a:endParaRPr>
        </a:p>
        <a:p>
          <a:r>
            <a:rPr lang="en-GB" sz="1600">
              <a:solidFill>
                <a:srgbClr val="015F5B"/>
              </a:solidFill>
              <a:effectLst/>
              <a:latin typeface="Aptos" panose="020B0004020202020204" pitchFamily="34" charset="0"/>
              <a:ea typeface="+mn-ea"/>
              <a:cs typeface="+mn-cs"/>
            </a:rPr>
            <a:t>A </a:t>
          </a:r>
          <a:r>
            <a:rPr lang="en-GB" sz="1600" b="1">
              <a:solidFill>
                <a:srgbClr val="015F5B"/>
              </a:solidFill>
              <a:effectLst/>
              <a:latin typeface="Aptos" panose="020B0004020202020204" pitchFamily="34" charset="0"/>
              <a:ea typeface="+mn-ea"/>
              <a:cs typeface="+mn-cs"/>
            </a:rPr>
            <a:t>GEE_mobilidade</a:t>
          </a:r>
          <a:r>
            <a:rPr lang="en-GB" sz="1600" b="1" baseline="0">
              <a:solidFill>
                <a:srgbClr val="015F5B"/>
              </a:solidFill>
              <a:effectLst/>
              <a:latin typeface="Aptos" panose="020B0004020202020204" pitchFamily="34" charset="0"/>
              <a:ea typeface="+mn-ea"/>
              <a:cs typeface="+mn-cs"/>
            </a:rPr>
            <a:t> </a:t>
          </a:r>
          <a:r>
            <a:rPr lang="en-GB" sz="1600" baseline="0">
              <a:solidFill>
                <a:srgbClr val="015F5B"/>
              </a:solidFill>
              <a:effectLst/>
              <a:latin typeface="Aptos" panose="020B0004020202020204" pitchFamily="34" charset="0"/>
              <a:ea typeface="+mn-ea"/>
              <a:cs typeface="+mn-cs"/>
            </a:rPr>
            <a:t>é uma </a:t>
          </a:r>
          <a:r>
            <a:rPr lang="en-GB" sz="1600">
              <a:solidFill>
                <a:srgbClr val="015F5B"/>
              </a:solidFill>
              <a:effectLst/>
              <a:latin typeface="Aptos" panose="020B0004020202020204" pitchFamily="34" charset="0"/>
              <a:ea typeface="+mn-ea"/>
              <a:cs typeface="+mn-cs"/>
            </a:rPr>
            <a:t>calculadora de emissões de gases com efeito de estufa (</a:t>
          </a:r>
          <a:r>
            <a:rPr lang="en-GB" sz="1600" b="1">
              <a:solidFill>
                <a:srgbClr val="015F5B"/>
              </a:solidFill>
              <a:effectLst/>
              <a:latin typeface="Aptos" panose="020B0004020202020204" pitchFamily="34" charset="0"/>
              <a:ea typeface="+mn-ea"/>
              <a:cs typeface="+mn-cs"/>
            </a:rPr>
            <a:t>GEE</a:t>
          </a:r>
          <a:r>
            <a:rPr lang="en-GB" sz="1600">
              <a:solidFill>
                <a:srgbClr val="015F5B"/>
              </a:solidFill>
              <a:effectLst/>
              <a:latin typeface="Aptos" panose="020B0004020202020204" pitchFamily="34" charset="0"/>
              <a:ea typeface="+mn-ea"/>
              <a:cs typeface="+mn-cs"/>
            </a:rPr>
            <a:t>) para </a:t>
          </a:r>
          <a:r>
            <a:rPr lang="pt-PT" sz="1600" b="1">
              <a:solidFill>
                <a:srgbClr val="015F5B"/>
              </a:solidFill>
              <a:effectLst/>
              <a:latin typeface="Aptos" panose="020B0004020202020204" pitchFamily="34" charset="0"/>
              <a:ea typeface="+mn-ea"/>
              <a:cs typeface="+mn-cs"/>
            </a:rPr>
            <a:t>projetos de vias/infraestruturas de mobilidade, incluindo ferrovia e metros, mobilidade urbana e de transporte de passageiros urbano</a:t>
          </a:r>
          <a:r>
            <a:rPr lang="en-GB" sz="1600" b="0">
              <a:solidFill>
                <a:srgbClr val="015F5B"/>
              </a:solidFill>
              <a:effectLst/>
              <a:latin typeface="Aptos" panose="020B0004020202020204" pitchFamily="34" charset="0"/>
              <a:ea typeface="+mn-ea"/>
              <a:cs typeface="+mn-cs"/>
            </a:rPr>
            <a:t>.</a:t>
          </a:r>
          <a:r>
            <a:rPr lang="en-GB" sz="1600" b="0" baseline="0">
              <a:solidFill>
                <a:srgbClr val="015F5B"/>
              </a:solidFill>
              <a:effectLst/>
              <a:latin typeface="Aptos" panose="020B0004020202020204" pitchFamily="34" charset="0"/>
              <a:ea typeface="+mn-ea"/>
              <a:cs typeface="+mn-cs"/>
            </a:rPr>
            <a:t> D</a:t>
          </a:r>
          <a:r>
            <a:rPr lang="en-GB" sz="1600">
              <a:solidFill>
                <a:srgbClr val="015F5B"/>
              </a:solidFill>
              <a:effectLst/>
              <a:latin typeface="Aptos" panose="020B0004020202020204" pitchFamily="34" charset="0"/>
              <a:ea typeface="+mn-ea"/>
              <a:cs typeface="+mn-cs"/>
            </a:rPr>
            <a:t>estina-se a qualquer entidade</a:t>
          </a:r>
          <a:r>
            <a:rPr lang="en-GB" sz="1600" baseline="0">
              <a:solidFill>
                <a:srgbClr val="015F5B"/>
              </a:solidFill>
              <a:effectLst/>
              <a:latin typeface="Aptos" panose="020B0004020202020204" pitchFamily="34" charset="0"/>
              <a:ea typeface="+mn-ea"/>
              <a:cs typeface="+mn-cs"/>
            </a:rPr>
            <a:t> ou empresa</a:t>
          </a:r>
          <a:r>
            <a:rPr lang="en-GB" sz="1600">
              <a:solidFill>
                <a:srgbClr val="015F5B"/>
              </a:solidFill>
              <a:effectLst/>
              <a:latin typeface="Aptos" panose="020B0004020202020204" pitchFamily="34" charset="0"/>
              <a:ea typeface="+mn-ea"/>
              <a:cs typeface="+mn-cs"/>
            </a:rPr>
            <a:t> que pretenda calcular:  </a:t>
          </a:r>
        </a:p>
        <a:p>
          <a:endParaRPr lang="en-GB" sz="1600">
            <a:solidFill>
              <a:srgbClr val="015F5B"/>
            </a:solidFill>
            <a:effectLst/>
            <a:latin typeface="Aptos" panose="020B0004020202020204" pitchFamily="34" charset="0"/>
            <a:ea typeface="+mn-ea"/>
            <a:cs typeface="+mn-cs"/>
          </a:endParaRPr>
        </a:p>
        <a:p>
          <a:r>
            <a:rPr lang="en-GB" sz="1600">
              <a:solidFill>
                <a:srgbClr val="015F5B"/>
              </a:solidFill>
              <a:effectLst/>
              <a:latin typeface="Aptos" panose="020B0004020202020204" pitchFamily="34" charset="0"/>
              <a:ea typeface="+mn-ea"/>
              <a:cs typeface="+mn-cs"/>
            </a:rPr>
            <a:t>a) </a:t>
          </a:r>
          <a:r>
            <a:rPr lang="en-GB" sz="1600" b="1">
              <a:solidFill>
                <a:srgbClr val="015F5B"/>
              </a:solidFill>
              <a:effectLst/>
              <a:latin typeface="Aptos" panose="020B0004020202020204" pitchFamily="34" charset="0"/>
              <a:ea typeface="+mn-ea"/>
              <a:cs typeface="+mn-cs"/>
            </a:rPr>
            <a:t>Emissões absolutas</a:t>
          </a:r>
          <a:r>
            <a:rPr lang="en-GB" sz="1600">
              <a:solidFill>
                <a:srgbClr val="015F5B"/>
              </a:solidFill>
              <a:effectLst/>
              <a:latin typeface="Aptos" panose="020B0004020202020204" pitchFamily="34" charset="0"/>
              <a:ea typeface="+mn-ea"/>
              <a:cs typeface="+mn-cs"/>
            </a:rPr>
            <a:t>;</a:t>
          </a:r>
        </a:p>
        <a:p>
          <a:r>
            <a:rPr lang="en-GB" sz="1600">
              <a:solidFill>
                <a:srgbClr val="015F5B"/>
              </a:solidFill>
              <a:effectLst/>
              <a:latin typeface="Aptos" panose="020B0004020202020204" pitchFamily="34" charset="0"/>
              <a:ea typeface="+mn-ea"/>
              <a:cs typeface="+mn-cs"/>
            </a:rPr>
            <a:t> </a:t>
          </a:r>
        </a:p>
        <a:p>
          <a:r>
            <a:rPr lang="en-GB" sz="1600">
              <a:solidFill>
                <a:srgbClr val="015F5B"/>
              </a:solidFill>
              <a:effectLst/>
              <a:latin typeface="Aptos" panose="020B0004020202020204" pitchFamily="34" charset="0"/>
              <a:ea typeface="+mn-ea"/>
              <a:cs typeface="+mn-cs"/>
            </a:rPr>
            <a:t>b) </a:t>
          </a:r>
          <a:r>
            <a:rPr lang="en-GB" sz="1600" b="1">
              <a:solidFill>
                <a:srgbClr val="015F5B"/>
              </a:solidFill>
              <a:effectLst/>
              <a:latin typeface="Aptos" panose="020B0004020202020204" pitchFamily="34" charset="0"/>
              <a:ea typeface="+mn-ea"/>
              <a:cs typeface="+mn-cs"/>
            </a:rPr>
            <a:t>Emissões de referência</a:t>
          </a:r>
          <a:r>
            <a:rPr lang="en-GB" sz="1600">
              <a:solidFill>
                <a:srgbClr val="015F5B"/>
              </a:solidFill>
              <a:effectLst/>
              <a:latin typeface="Aptos" panose="020B0004020202020204" pitchFamily="34" charset="0"/>
              <a:ea typeface="+mn-ea"/>
              <a:cs typeface="+mn-cs"/>
            </a:rPr>
            <a:t>;</a:t>
          </a:r>
        </a:p>
        <a:p>
          <a:endParaRPr lang="en-GB" sz="1600">
            <a:solidFill>
              <a:srgbClr val="015F5B"/>
            </a:solidFill>
            <a:effectLst/>
            <a:latin typeface="Aptos" panose="020B0004020202020204" pitchFamily="34" charset="0"/>
            <a:ea typeface="+mn-ea"/>
            <a:cs typeface="+mn-cs"/>
          </a:endParaRPr>
        </a:p>
        <a:p>
          <a:r>
            <a:rPr lang="en-GB" sz="1600">
              <a:solidFill>
                <a:srgbClr val="015F5B"/>
              </a:solidFill>
              <a:effectLst/>
              <a:latin typeface="Aptos" panose="020B0004020202020204" pitchFamily="34" charset="0"/>
              <a:ea typeface="+mn-ea"/>
              <a:cs typeface="+mn-cs"/>
            </a:rPr>
            <a:t>c) </a:t>
          </a:r>
          <a:r>
            <a:rPr lang="en-GB" sz="1600" b="1">
              <a:solidFill>
                <a:srgbClr val="015F5B"/>
              </a:solidFill>
              <a:effectLst/>
              <a:latin typeface="Aptos" panose="020B0004020202020204" pitchFamily="34" charset="0"/>
              <a:ea typeface="+mn-ea"/>
              <a:cs typeface="+mn-cs"/>
            </a:rPr>
            <a:t>Emissões relativas</a:t>
          </a:r>
          <a:r>
            <a:rPr lang="en-GB" sz="1600">
              <a:solidFill>
                <a:srgbClr val="015F5B"/>
              </a:solidFill>
              <a:effectLst/>
              <a:latin typeface="Aptos" panose="020B0004020202020204" pitchFamily="34" charset="0"/>
              <a:ea typeface="+mn-ea"/>
              <a:cs typeface="+mn-cs"/>
            </a:rPr>
            <a:t>, num ano típico de funcionamento, relativamente a um cenário de referência (cenário provável na ausência do projeto).</a:t>
          </a:r>
        </a:p>
        <a:p>
          <a:endParaRPr lang="en-GB" sz="1600">
            <a:solidFill>
              <a:srgbClr val="015F5B"/>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rgbClr val="015F5B"/>
              </a:solidFill>
              <a:effectLst/>
              <a:latin typeface="Aptos" panose="020B0004020202020204" pitchFamily="34" charset="0"/>
              <a:ea typeface="+mn-ea"/>
              <a:cs typeface="+mn-cs"/>
            </a:rPr>
            <a:t>A calculadora foi concebida para a avaliação ex-ante (projetos que ainda não ocorreram) das emissões relativas de projetos relacionados com </a:t>
          </a:r>
          <a:r>
            <a:rPr lang="en-GB" sz="1600" b="1">
              <a:solidFill>
                <a:srgbClr val="015F5B"/>
              </a:solidFill>
              <a:effectLst/>
              <a:latin typeface="Aptos" panose="020B0004020202020204" pitchFamily="34" charset="0"/>
              <a:ea typeface="+mn-ea"/>
              <a:cs typeface="+mn-cs"/>
            </a:rPr>
            <a:t>vias/infraestruturas de mobilidade, incluindo ferrovia e metros,</a:t>
          </a:r>
          <a:r>
            <a:rPr lang="en-GB" sz="1600" b="1" baseline="0">
              <a:solidFill>
                <a:srgbClr val="015F5B"/>
              </a:solidFill>
              <a:effectLst/>
              <a:latin typeface="Aptos" panose="020B0004020202020204" pitchFamily="34" charset="0"/>
              <a:ea typeface="+mn-ea"/>
              <a:cs typeface="+mn-cs"/>
            </a:rPr>
            <a:t> mobilidade urbana e </a:t>
          </a:r>
          <a:r>
            <a:rPr lang="en-GB" sz="1600" b="1">
              <a:solidFill>
                <a:srgbClr val="015F5B"/>
              </a:solidFill>
              <a:effectLst/>
              <a:latin typeface="Aptos" panose="020B0004020202020204" pitchFamily="34" charset="0"/>
              <a:ea typeface="+mn-ea"/>
              <a:cs typeface="+mn-cs"/>
            </a:rPr>
            <a:t>transporte de passageiros.</a:t>
          </a:r>
        </a:p>
        <a:p>
          <a:endParaRPr lang="en-GB" sz="1600">
            <a:solidFill>
              <a:srgbClr val="015F5B"/>
            </a:solidFill>
            <a:effectLst/>
            <a:latin typeface="Aptos" panose="020B0004020202020204" pitchFamily="34" charset="0"/>
            <a:ea typeface="+mn-ea"/>
            <a:cs typeface="+mn-cs"/>
          </a:endParaRPr>
        </a:p>
        <a:p>
          <a:r>
            <a:rPr lang="en-GB" sz="1600">
              <a:solidFill>
                <a:srgbClr val="015F5B"/>
              </a:solidFill>
              <a:effectLst/>
              <a:latin typeface="Aptos" panose="020B0004020202020204" pitchFamily="34" charset="0"/>
              <a:ea typeface="+mn-ea"/>
              <a:cs typeface="+mn-cs"/>
            </a:rPr>
            <a:t>     </a:t>
          </a:r>
        </a:p>
        <a:p>
          <a:endParaRPr lang="en-GB" sz="1400">
            <a:solidFill>
              <a:srgbClr val="01635E"/>
            </a:solidFill>
            <a:latin typeface="Aptos" panose="020B0004020202020204" pitchFamily="34" charset="0"/>
          </a:endParaRPr>
        </a:p>
      </xdr:txBody>
    </xdr:sp>
    <xdr:clientData/>
  </xdr:twoCellAnchor>
  <xdr:twoCellAnchor>
    <xdr:from>
      <xdr:col>26</xdr:col>
      <xdr:colOff>121965</xdr:colOff>
      <xdr:row>6</xdr:row>
      <xdr:rowOff>144012</xdr:rowOff>
    </xdr:from>
    <xdr:to>
      <xdr:col>27</xdr:col>
      <xdr:colOff>279575</xdr:colOff>
      <xdr:row>9</xdr:row>
      <xdr:rowOff>254948</xdr:rowOff>
    </xdr:to>
    <xdr:grpSp>
      <xdr:nvGrpSpPr>
        <xdr:cNvPr id="24" name="Group 23">
          <a:extLst>
            <a:ext uri="{FF2B5EF4-FFF2-40B4-BE49-F238E27FC236}">
              <a16:creationId xmlns:a16="http://schemas.microsoft.com/office/drawing/2014/main" id="{F1829CD0-48F7-CAA8-1B6D-B87D2D6A7321}"/>
            </a:ext>
          </a:extLst>
        </xdr:cNvPr>
        <xdr:cNvGrpSpPr/>
      </xdr:nvGrpSpPr>
      <xdr:grpSpPr>
        <a:xfrm>
          <a:off x="15290528" y="1572762"/>
          <a:ext cx="741016" cy="825311"/>
          <a:chOff x="16676415" y="258312"/>
          <a:chExt cx="748160" cy="796736"/>
        </a:xfrm>
      </xdr:grpSpPr>
      <xdr:sp macro="" textlink="">
        <xdr:nvSpPr>
          <xdr:cNvPr id="18" name="TextBox 17">
            <a:extLst>
              <a:ext uri="{FF2B5EF4-FFF2-40B4-BE49-F238E27FC236}">
                <a16:creationId xmlns:a16="http://schemas.microsoft.com/office/drawing/2014/main" id="{A8B1FE17-33DC-A8C0-D017-631AA6CB6253}"/>
              </a:ext>
            </a:extLst>
          </xdr:cNvPr>
          <xdr:cNvSpPr txBox="1"/>
        </xdr:nvSpPr>
        <xdr:spPr>
          <a:xfrm>
            <a:off x="16676415" y="743552"/>
            <a:ext cx="748160" cy="31149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ysClr val="windowText" lastClr="000000"/>
                </a:solidFill>
                <a:latin typeface="Aptos" panose="020B0004020202020204" pitchFamily="34" charset="0"/>
              </a:rPr>
              <a:t>Índice</a:t>
            </a:r>
          </a:p>
        </xdr:txBody>
      </xdr:sp>
      <xdr:pic>
        <xdr:nvPicPr>
          <xdr:cNvPr id="19" name="Graphic 18" descr="Home outline">
            <a:hlinkClick xmlns:r="http://schemas.openxmlformats.org/officeDocument/2006/relationships" r:id="rId5"/>
            <a:extLst>
              <a:ext uri="{FF2B5EF4-FFF2-40B4-BE49-F238E27FC236}">
                <a16:creationId xmlns:a16="http://schemas.microsoft.com/office/drawing/2014/main" id="{8FF4879F-266D-2210-5C12-77A3CC2DC93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6744950" y="258312"/>
            <a:ext cx="511636" cy="513083"/>
          </a:xfrm>
          <a:prstGeom prst="rect">
            <a:avLst/>
          </a:prstGeom>
        </xdr:spPr>
      </xdr:pic>
    </xdr:grpSp>
    <xdr:clientData/>
  </xdr:twoCellAnchor>
  <xdr:twoCellAnchor>
    <xdr:from>
      <xdr:col>26</xdr:col>
      <xdr:colOff>123825</xdr:colOff>
      <xdr:row>10</xdr:row>
      <xdr:rowOff>142875</xdr:rowOff>
    </xdr:from>
    <xdr:to>
      <xdr:col>27</xdr:col>
      <xdr:colOff>171450</xdr:colOff>
      <xdr:row>12</xdr:row>
      <xdr:rowOff>28575</xdr:rowOff>
    </xdr:to>
    <xdr:pic>
      <xdr:nvPicPr>
        <xdr:cNvPr id="15" name="Graphic 14" descr="Badge Question Mark outline">
          <a:extLst>
            <a:ext uri="{FF2B5EF4-FFF2-40B4-BE49-F238E27FC236}">
              <a16:creationId xmlns:a16="http://schemas.microsoft.com/office/drawing/2014/main" id="{951D18C7-7FA6-3C1E-3266-ABDF9EC87C6B}"/>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5478125" y="2495550"/>
          <a:ext cx="638175" cy="638175"/>
        </a:xfrm>
        <a:prstGeom prst="rect">
          <a:avLst/>
        </a:prstGeom>
      </xdr:spPr>
    </xdr:pic>
    <xdr:clientData/>
  </xdr:twoCellAnchor>
  <xdr:twoCellAnchor>
    <xdr:from>
      <xdr:col>25</xdr:col>
      <xdr:colOff>552449</xdr:colOff>
      <xdr:row>11</xdr:row>
      <xdr:rowOff>438149</xdr:rowOff>
    </xdr:from>
    <xdr:to>
      <xdr:col>27</xdr:col>
      <xdr:colOff>485774</xdr:colOff>
      <xdr:row>13</xdr:row>
      <xdr:rowOff>114300</xdr:rowOff>
    </xdr:to>
    <xdr:sp macro="" textlink="">
      <xdr:nvSpPr>
        <xdr:cNvPr id="16" name="TextBox 15">
          <a:hlinkClick xmlns:r="http://schemas.openxmlformats.org/officeDocument/2006/relationships" r:id="rId10"/>
          <a:extLst>
            <a:ext uri="{FF2B5EF4-FFF2-40B4-BE49-F238E27FC236}">
              <a16:creationId xmlns:a16="http://schemas.microsoft.com/office/drawing/2014/main" id="{F3898BCB-6466-4D62-9382-3E701A32E99C}"/>
            </a:ext>
          </a:extLst>
        </xdr:cNvPr>
        <xdr:cNvSpPr txBox="1"/>
      </xdr:nvSpPr>
      <xdr:spPr>
        <a:xfrm>
          <a:off x="15316199" y="3019424"/>
          <a:ext cx="1114425"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ysClr val="windowText" lastClr="000000"/>
              </a:solidFill>
              <a:latin typeface="Aptos" panose="020B0004020202020204" pitchFamily="34" charset="0"/>
            </a:rPr>
            <a:t>Instruções</a:t>
          </a:r>
          <a:r>
            <a:rPr lang="en-GB" sz="1400" baseline="0">
              <a:solidFill>
                <a:sysClr val="windowText" lastClr="000000"/>
              </a:solidFill>
              <a:latin typeface="Aptos" panose="020B0004020202020204" pitchFamily="34" charset="0"/>
            </a:rPr>
            <a:t> e PFs</a:t>
          </a:r>
          <a:endParaRPr lang="en-GB" sz="1400">
            <a:solidFill>
              <a:sysClr val="windowText" lastClr="000000"/>
            </a:solidFill>
            <a:latin typeface="Aptos" panose="020B0004020202020204" pitchFamily="34" charset="0"/>
          </a:endParaRPr>
        </a:p>
      </xdr:txBody>
    </xdr:sp>
    <xdr:clientData/>
  </xdr:twoCellAnchor>
  <xdr:twoCellAnchor>
    <xdr:from>
      <xdr:col>12</xdr:col>
      <xdr:colOff>485775</xdr:colOff>
      <xdr:row>6</xdr:row>
      <xdr:rowOff>152401</xdr:rowOff>
    </xdr:from>
    <xdr:to>
      <xdr:col>24</xdr:col>
      <xdr:colOff>400050</xdr:colOff>
      <xdr:row>28</xdr:row>
      <xdr:rowOff>142876</xdr:rowOff>
    </xdr:to>
    <xdr:sp macro="" textlink="">
      <xdr:nvSpPr>
        <xdr:cNvPr id="12" name="Flowchart: Alternative Process 11">
          <a:extLst>
            <a:ext uri="{FF2B5EF4-FFF2-40B4-BE49-F238E27FC236}">
              <a16:creationId xmlns:a16="http://schemas.microsoft.com/office/drawing/2014/main" id="{0673E2F9-B1AD-436D-BA1A-FE3E4501DA05}"/>
            </a:ext>
          </a:extLst>
        </xdr:cNvPr>
        <xdr:cNvSpPr/>
      </xdr:nvSpPr>
      <xdr:spPr>
        <a:xfrm>
          <a:off x="7572375" y="1524001"/>
          <a:ext cx="7000875" cy="6210300"/>
        </a:xfrm>
        <a:prstGeom prst="flowChartAlternateProcess">
          <a:avLst/>
        </a:prstGeom>
        <a:solidFill>
          <a:schemeClr val="accent6">
            <a:lumMod val="40000"/>
            <a:lumOff val="60000"/>
            <a:alpha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400">
            <a:solidFill>
              <a:srgbClr val="01635E"/>
            </a:solidFill>
            <a:latin typeface="Aptos" panose="020B0004020202020204" pitchFamily="34" charset="0"/>
          </a:endParaRPr>
        </a:p>
      </xdr:txBody>
    </xdr:sp>
    <xdr:clientData/>
  </xdr:twoCellAnchor>
  <xdr:twoCellAnchor>
    <xdr:from>
      <xdr:col>13</xdr:col>
      <xdr:colOff>400050</xdr:colOff>
      <xdr:row>5</xdr:row>
      <xdr:rowOff>9525</xdr:rowOff>
    </xdr:from>
    <xdr:to>
      <xdr:col>22</xdr:col>
      <xdr:colOff>509518</xdr:colOff>
      <xdr:row>22</xdr:row>
      <xdr:rowOff>131445</xdr:rowOff>
    </xdr:to>
    <xdr:sp macro="" textlink="">
      <xdr:nvSpPr>
        <xdr:cNvPr id="10" name="TextBox 9">
          <a:extLst>
            <a:ext uri="{FF2B5EF4-FFF2-40B4-BE49-F238E27FC236}">
              <a16:creationId xmlns:a16="http://schemas.microsoft.com/office/drawing/2014/main" id="{8D3A47F0-2E52-4E94-9EB2-3CED74E31A91}"/>
            </a:ext>
          </a:extLst>
        </xdr:cNvPr>
        <xdr:cNvSpPr txBox="1"/>
      </xdr:nvSpPr>
      <xdr:spPr>
        <a:xfrm>
          <a:off x="8077200" y="1152525"/>
          <a:ext cx="5424418" cy="524637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400">
            <a:solidFill>
              <a:srgbClr val="01635E"/>
            </a:solidFill>
            <a:latin typeface="Aptos" panose="020B0004020202020204" pitchFamily="34" charset="0"/>
            <a:ea typeface="+mn-ea"/>
            <a:cs typeface="+mn-cs"/>
          </a:endParaRPr>
        </a:p>
        <a:p>
          <a:pPr marL="0" indent="0" algn="l"/>
          <a:endParaRPr lang="en-GB" sz="1400">
            <a:solidFill>
              <a:srgbClr val="01635E"/>
            </a:solidFill>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rgbClr val="01635E"/>
            </a:solidFill>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GB" sz="1600">
            <a:solidFill>
              <a:srgbClr val="015F5B"/>
            </a:solidFill>
            <a:effectLst/>
            <a:latin typeface="Aptos" panose="020B0004020202020204" pitchFamily="34" charset="0"/>
            <a:ea typeface="+mn-ea"/>
            <a:cs typeface="+mn-cs"/>
          </a:endParaRPr>
        </a:p>
        <a:p>
          <a:pPr marL="0" indent="0" algn="l"/>
          <a:endParaRPr lang="en-GB" sz="1600">
            <a:solidFill>
              <a:srgbClr val="015F5B"/>
            </a:solidFill>
            <a:effectLst/>
            <a:latin typeface="Aptos" panose="020B0004020202020204" pitchFamily="34" charset="0"/>
            <a:ea typeface="+mn-ea"/>
            <a:cs typeface="+mn-cs"/>
          </a:endParaRPr>
        </a:p>
        <a:p>
          <a:pPr marL="0" indent="0" algn="l"/>
          <a:r>
            <a:rPr lang="en-GB" sz="1600" b="1">
              <a:solidFill>
                <a:srgbClr val="015F5B"/>
              </a:solidFill>
              <a:effectLst/>
              <a:latin typeface="Aptos" panose="020B0004020202020204" pitchFamily="34" charset="0"/>
              <a:ea typeface="+mn-ea"/>
              <a:cs typeface="+mn-cs"/>
            </a:rPr>
            <a:t>Como iniciar a análise de</a:t>
          </a:r>
          <a:r>
            <a:rPr lang="en-GB" sz="1600" b="1" baseline="0">
              <a:solidFill>
                <a:srgbClr val="015F5B"/>
              </a:solidFill>
              <a:effectLst/>
              <a:latin typeface="Aptos" panose="020B0004020202020204" pitchFamily="34" charset="0"/>
              <a:ea typeface="+mn-ea"/>
              <a:cs typeface="+mn-cs"/>
            </a:rPr>
            <a:t> um</a:t>
          </a:r>
          <a:r>
            <a:rPr lang="en-GB" sz="1600" b="1">
              <a:solidFill>
                <a:srgbClr val="015F5B"/>
              </a:solidFill>
              <a:effectLst/>
              <a:latin typeface="Aptos" panose="020B0004020202020204" pitchFamily="34" charset="0"/>
              <a:ea typeface="+mn-ea"/>
              <a:cs typeface="+mn-cs"/>
            </a:rPr>
            <a:t> projeto?</a:t>
          </a:r>
        </a:p>
        <a:p>
          <a:pPr marL="0" indent="0" algn="l"/>
          <a:endParaRPr lang="en-GB" sz="1600">
            <a:solidFill>
              <a:srgbClr val="015F5B"/>
            </a:solidFill>
            <a:effectLst/>
            <a:latin typeface="Aptos" panose="020B0004020202020204" pitchFamily="34" charset="0"/>
            <a:ea typeface="+mn-ea"/>
            <a:cs typeface="+mn-cs"/>
          </a:endParaRPr>
        </a:p>
        <a:p>
          <a:pPr marL="0" indent="0" algn="l"/>
          <a:r>
            <a:rPr lang="en-GB" sz="1600">
              <a:solidFill>
                <a:srgbClr val="015F5B"/>
              </a:solidFill>
              <a:effectLst/>
              <a:latin typeface="Aptos" panose="020B0004020202020204" pitchFamily="34" charset="0"/>
              <a:ea typeface="+mn-ea"/>
              <a:cs typeface="+mn-cs"/>
            </a:rPr>
            <a:t>Começar por </a:t>
          </a:r>
          <a:r>
            <a:rPr lang="en-GB" sz="1600" b="1">
              <a:solidFill>
                <a:srgbClr val="015F5B"/>
              </a:solidFill>
              <a:effectLst/>
              <a:latin typeface="Aptos" panose="020B0004020202020204" pitchFamily="34" charset="0"/>
              <a:ea typeface="+mn-ea"/>
              <a:cs typeface="+mn-cs"/>
            </a:rPr>
            <a:t>ler atentamente </a:t>
          </a:r>
          <a:r>
            <a:rPr lang="en-GB" sz="1600">
              <a:solidFill>
                <a:srgbClr val="015F5B"/>
              </a:solidFill>
              <a:effectLst/>
              <a:latin typeface="Aptos" panose="020B0004020202020204" pitchFamily="34" charset="0"/>
              <a:ea typeface="+mn-ea"/>
              <a:cs typeface="+mn-cs"/>
            </a:rPr>
            <a:t>as </a:t>
          </a:r>
          <a:r>
            <a:rPr lang="en-GB" sz="1600" b="1">
              <a:solidFill>
                <a:srgbClr val="015F5B"/>
              </a:solidFill>
              <a:effectLst/>
              <a:latin typeface="Aptos" panose="020B0004020202020204" pitchFamily="34" charset="0"/>
              <a:ea typeface="+mn-ea"/>
              <a:cs typeface="+mn-cs"/>
            </a:rPr>
            <a:t>Instruções/</a:t>
          </a:r>
          <a:r>
            <a:rPr lang="en-GB" sz="1600">
              <a:solidFill>
                <a:srgbClr val="015F5B"/>
              </a:solidFill>
              <a:effectLst/>
              <a:latin typeface="Aptos" panose="020B0004020202020204" pitchFamily="34" charset="0"/>
              <a:ea typeface="+mn-ea"/>
              <a:cs typeface="+mn-cs"/>
            </a:rPr>
            <a:t> </a:t>
          </a:r>
          <a:r>
            <a:rPr lang="en-GB" sz="1600" b="1">
              <a:solidFill>
                <a:srgbClr val="015F5B"/>
              </a:solidFill>
              <a:effectLst/>
              <a:latin typeface="Aptos" panose="020B0004020202020204" pitchFamily="34" charset="0"/>
              <a:ea typeface="+mn-ea"/>
              <a:cs typeface="+mn-cs"/>
            </a:rPr>
            <a:t>Perguntas Frequentes (PFs) </a:t>
          </a:r>
          <a:r>
            <a:rPr lang="en-GB" sz="1600">
              <a:solidFill>
                <a:srgbClr val="015F5B"/>
              </a:solidFill>
              <a:effectLst/>
              <a:latin typeface="Aptos" panose="020B0004020202020204" pitchFamily="34" charset="0"/>
              <a:ea typeface="+mn-ea"/>
              <a:cs typeface="+mn-cs"/>
            </a:rPr>
            <a:t>da ferramenta para conhecer:</a:t>
          </a:r>
        </a:p>
        <a:p>
          <a:pPr marL="0" indent="0" algn="l"/>
          <a:endParaRPr lang="en-GB" sz="1600">
            <a:solidFill>
              <a:srgbClr val="015F5B"/>
            </a:solidFill>
            <a:effectLst/>
            <a:latin typeface="Aptos" panose="020B0004020202020204" pitchFamily="34" charset="0"/>
            <a:ea typeface="+mn-ea"/>
            <a:cs typeface="+mn-cs"/>
          </a:endParaRPr>
        </a:p>
        <a:p>
          <a:pPr marL="0" indent="0" algn="l"/>
          <a:r>
            <a:rPr lang="en-GB" sz="1600">
              <a:solidFill>
                <a:srgbClr val="015F5B"/>
              </a:solidFill>
              <a:effectLst/>
              <a:latin typeface="Aptos" panose="020B0004020202020204" pitchFamily="34" charset="0"/>
              <a:ea typeface="+mn-ea"/>
              <a:cs typeface="+mn-cs"/>
            </a:rPr>
            <a:t> 1. Os </a:t>
          </a:r>
          <a:r>
            <a:rPr lang="en-GB" sz="1600" b="1">
              <a:solidFill>
                <a:srgbClr val="015F5B"/>
              </a:solidFill>
              <a:effectLst/>
              <a:latin typeface="Aptos" panose="020B0004020202020204" pitchFamily="34" charset="0"/>
              <a:ea typeface="+mn-ea"/>
              <a:cs typeface="+mn-cs"/>
            </a:rPr>
            <a:t>objetivos</a:t>
          </a:r>
          <a:r>
            <a:rPr lang="en-GB" sz="1600">
              <a:solidFill>
                <a:srgbClr val="015F5B"/>
              </a:solidFill>
              <a:effectLst/>
              <a:latin typeface="Aptos" panose="020B0004020202020204" pitchFamily="34" charset="0"/>
              <a:ea typeface="+mn-ea"/>
              <a:cs typeface="+mn-cs"/>
            </a:rPr>
            <a:t> da GEE_mobilidade;</a:t>
          </a:r>
        </a:p>
        <a:p>
          <a:pPr marL="0" indent="0" algn="l"/>
          <a:endParaRPr lang="en-GB" sz="1600" b="1">
            <a:solidFill>
              <a:srgbClr val="015F5B"/>
            </a:solidFill>
            <a:effectLst/>
            <a:latin typeface="Aptos" panose="020B0004020202020204" pitchFamily="34" charset="0"/>
            <a:ea typeface="+mn-ea"/>
            <a:cs typeface="+mn-cs"/>
          </a:endParaRPr>
        </a:p>
        <a:p>
          <a:pPr marL="0" indent="0" algn="l"/>
          <a:r>
            <a:rPr lang="en-GB" sz="1600" b="0">
              <a:solidFill>
                <a:srgbClr val="015F5B"/>
              </a:solidFill>
              <a:effectLst/>
              <a:latin typeface="Aptos" panose="020B0004020202020204" pitchFamily="34" charset="0"/>
              <a:ea typeface="+mn-ea"/>
              <a:cs typeface="+mn-cs"/>
            </a:rPr>
            <a:t>2. Os</a:t>
          </a:r>
          <a:r>
            <a:rPr lang="en-GB" sz="1600" b="1" baseline="0">
              <a:solidFill>
                <a:srgbClr val="015F5B"/>
              </a:solidFill>
              <a:effectLst/>
              <a:latin typeface="Aptos" panose="020B0004020202020204" pitchFamily="34" charset="0"/>
              <a:ea typeface="+mn-ea"/>
              <a:cs typeface="+mn-cs"/>
            </a:rPr>
            <a:t> </a:t>
          </a:r>
          <a:r>
            <a:rPr lang="en-GB" sz="1600" b="1">
              <a:solidFill>
                <a:srgbClr val="015F5B"/>
              </a:solidFill>
              <a:effectLst/>
              <a:latin typeface="Aptos" panose="020B0004020202020204" pitchFamily="34" charset="0"/>
              <a:ea typeface="+mn-ea"/>
              <a:cs typeface="+mn-cs"/>
            </a:rPr>
            <a:t>pressupostos metodológicos</a:t>
          </a:r>
          <a:r>
            <a:rPr lang="en-GB" sz="1600" baseline="0">
              <a:solidFill>
                <a:srgbClr val="015F5B"/>
              </a:solidFill>
              <a:effectLst/>
              <a:latin typeface="Aptos" panose="020B0004020202020204" pitchFamily="34" charset="0"/>
              <a:ea typeface="+mn-ea"/>
              <a:cs typeface="+mn-cs"/>
            </a:rPr>
            <a:t> utilizados na</a:t>
          </a:r>
        </a:p>
        <a:p>
          <a:pPr marL="0" indent="0" algn="l"/>
          <a:r>
            <a:rPr lang="en-GB" sz="1600" baseline="0">
              <a:solidFill>
                <a:srgbClr val="015F5B"/>
              </a:solidFill>
              <a:effectLst/>
              <a:latin typeface="Aptos" panose="020B0004020202020204" pitchFamily="34" charset="0"/>
              <a:ea typeface="+mn-ea"/>
              <a:cs typeface="+mn-cs"/>
            </a:rPr>
            <a:t>      ferramenta;</a:t>
          </a:r>
        </a:p>
        <a:p>
          <a:pPr marL="0" indent="0" algn="l"/>
          <a:endParaRPr lang="en-GB" sz="1600" baseline="0">
            <a:solidFill>
              <a:srgbClr val="015F5B"/>
            </a:solidFill>
            <a:effectLst/>
            <a:latin typeface="Aptos" panose="020B0004020202020204" pitchFamily="34" charset="0"/>
            <a:ea typeface="+mn-ea"/>
            <a:cs typeface="+mn-cs"/>
          </a:endParaRPr>
        </a:p>
        <a:p>
          <a:pPr marL="0" indent="0" algn="l"/>
          <a:r>
            <a:rPr lang="en-GB" sz="1600" baseline="0">
              <a:solidFill>
                <a:srgbClr val="015F5B"/>
              </a:solidFill>
              <a:effectLst/>
              <a:latin typeface="Aptos" panose="020B0004020202020204" pitchFamily="34" charset="0"/>
              <a:ea typeface="+mn-ea"/>
              <a:cs typeface="+mn-cs"/>
            </a:rPr>
            <a:t>3. A</a:t>
          </a:r>
          <a:r>
            <a:rPr lang="en-GB" sz="1600">
              <a:solidFill>
                <a:srgbClr val="015F5B"/>
              </a:solidFill>
              <a:effectLst/>
              <a:latin typeface="Aptos" panose="020B0004020202020204" pitchFamily="34" charset="0"/>
              <a:ea typeface="+mn-ea"/>
              <a:cs typeface="+mn-cs"/>
            </a:rPr>
            <a:t> </a:t>
          </a:r>
          <a:r>
            <a:rPr lang="en-GB" sz="1600" b="1">
              <a:solidFill>
                <a:srgbClr val="015F5B"/>
              </a:solidFill>
              <a:effectLst/>
              <a:latin typeface="Aptos" panose="020B0004020202020204" pitchFamily="34" charset="0"/>
              <a:ea typeface="+mn-ea"/>
              <a:cs typeface="+mn-cs"/>
            </a:rPr>
            <a:t>tipologia de projetos </a:t>
          </a:r>
          <a:r>
            <a:rPr lang="en-GB" sz="1600">
              <a:solidFill>
                <a:srgbClr val="015F5B"/>
              </a:solidFill>
              <a:effectLst/>
              <a:latin typeface="Aptos" panose="020B0004020202020204" pitchFamily="34" charset="0"/>
              <a:ea typeface="+mn-ea"/>
              <a:cs typeface="+mn-cs"/>
            </a:rPr>
            <a:t>abrangidos pela calculadora;</a:t>
          </a:r>
        </a:p>
        <a:p>
          <a:pPr marL="0" indent="0" algn="l"/>
          <a:endParaRPr lang="en-GB" sz="1600">
            <a:solidFill>
              <a:srgbClr val="015F5B"/>
            </a:solidFill>
            <a:effectLst/>
            <a:latin typeface="Aptos" panose="020B0004020202020204" pitchFamily="34" charset="0"/>
            <a:ea typeface="+mn-ea"/>
            <a:cs typeface="+mn-cs"/>
          </a:endParaRPr>
        </a:p>
        <a:p>
          <a:pPr marL="0" indent="0" algn="l"/>
          <a:r>
            <a:rPr lang="en-GB" sz="1600">
              <a:solidFill>
                <a:srgbClr val="015F5B"/>
              </a:solidFill>
              <a:effectLst/>
              <a:latin typeface="Aptos" panose="020B0004020202020204" pitchFamily="34" charset="0"/>
              <a:ea typeface="+mn-ea"/>
              <a:cs typeface="+mn-cs"/>
            </a:rPr>
            <a:t>4. Os </a:t>
          </a:r>
          <a:r>
            <a:rPr lang="en-GB" sz="1600" b="1">
              <a:solidFill>
                <a:srgbClr val="015F5B"/>
              </a:solidFill>
              <a:effectLst/>
              <a:latin typeface="Aptos" panose="020B0004020202020204" pitchFamily="34" charset="0"/>
              <a:ea typeface="+mn-ea"/>
              <a:cs typeface="+mn-cs"/>
            </a:rPr>
            <a:t>procedimentos</a:t>
          </a:r>
          <a:r>
            <a:rPr lang="en-GB" sz="1600">
              <a:solidFill>
                <a:srgbClr val="015F5B"/>
              </a:solidFill>
              <a:effectLst/>
              <a:latin typeface="Aptos" panose="020B0004020202020204" pitchFamily="34" charset="0"/>
              <a:ea typeface="+mn-ea"/>
              <a:cs typeface="+mn-cs"/>
            </a:rPr>
            <a:t> a adotar para o cálculo das emissões</a:t>
          </a:r>
        </a:p>
        <a:p>
          <a:pPr marL="0" indent="0" algn="l"/>
          <a:r>
            <a:rPr lang="en-GB" sz="1600">
              <a:solidFill>
                <a:srgbClr val="015F5B"/>
              </a:solidFill>
              <a:effectLst/>
              <a:latin typeface="Aptos" panose="020B0004020202020204" pitchFamily="34" charset="0"/>
              <a:ea typeface="+mn-ea"/>
              <a:cs typeface="+mn-cs"/>
            </a:rPr>
            <a:t>    de GEE</a:t>
          </a:r>
          <a:r>
            <a:rPr lang="en-GB" sz="1400">
              <a:solidFill>
                <a:srgbClr val="01635E"/>
              </a:solidFill>
              <a:latin typeface="Aptos" panose="020B0004020202020204" pitchFamily="34" charset="0"/>
              <a:ea typeface="+mn-ea"/>
              <a:cs typeface="+mn-cs"/>
            </a:rPr>
            <a:t>.</a:t>
          </a:r>
        </a:p>
        <a:p>
          <a:pPr marL="0" indent="0" algn="l"/>
          <a:r>
            <a:rPr lang="en-GB" sz="1400">
              <a:solidFill>
                <a:srgbClr val="01635E"/>
              </a:solidFill>
              <a:latin typeface="Aptos" panose="020B0004020202020204" pitchFamily="34" charset="0"/>
              <a:ea typeface="+mn-ea"/>
              <a:cs typeface="+mn-cs"/>
            </a:rPr>
            <a:t>     </a:t>
          </a:r>
        </a:p>
        <a:p>
          <a:pPr marL="0" indent="0" algn="l"/>
          <a:endParaRPr lang="en-GB" sz="1400">
            <a:solidFill>
              <a:srgbClr val="01635E"/>
            </a:solidFill>
            <a:latin typeface="Aptos" panose="020B0004020202020204" pitchFamily="34" charset="0"/>
            <a:ea typeface="+mn-ea"/>
            <a:cs typeface="+mn-cs"/>
          </a:endParaRPr>
        </a:p>
      </xdr:txBody>
    </xdr:sp>
    <xdr:clientData/>
  </xdr:twoCellAnchor>
  <xdr:twoCellAnchor editAs="oneCell">
    <xdr:from>
      <xdr:col>22</xdr:col>
      <xdr:colOff>293608</xdr:colOff>
      <xdr:row>11</xdr:row>
      <xdr:rowOff>180975</xdr:rowOff>
    </xdr:from>
    <xdr:to>
      <xdr:col>23</xdr:col>
      <xdr:colOff>188833</xdr:colOff>
      <xdr:row>12</xdr:row>
      <xdr:rowOff>142875</xdr:rowOff>
    </xdr:to>
    <xdr:pic>
      <xdr:nvPicPr>
        <xdr:cNvPr id="25" name="Picture 24">
          <a:hlinkClick xmlns:r="http://schemas.openxmlformats.org/officeDocument/2006/relationships" r:id="rId10"/>
          <a:extLst>
            <a:ext uri="{FF2B5EF4-FFF2-40B4-BE49-F238E27FC236}">
              <a16:creationId xmlns:a16="http://schemas.microsoft.com/office/drawing/2014/main" id="{C00BEF4B-2201-813E-0D56-CAF5335E679D}"/>
            </a:ext>
          </a:extLst>
        </xdr:cNvPr>
        <xdr:cNvPicPr>
          <a:picLocks noChangeAspect="1"/>
        </xdr:cNvPicPr>
      </xdr:nvPicPr>
      <xdr:blipFill>
        <a:blip xmlns:r="http://schemas.openxmlformats.org/officeDocument/2006/relationships" r:embed="rId11"/>
        <a:stretch>
          <a:fillRect/>
        </a:stretch>
      </xdr:blipFill>
      <xdr:spPr>
        <a:xfrm>
          <a:off x="13285708" y="2762250"/>
          <a:ext cx="485775" cy="485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174171</xdr:colOff>
      <xdr:row>67</xdr:row>
      <xdr:rowOff>32657</xdr:rowOff>
    </xdr:from>
    <xdr:to>
      <xdr:col>2</xdr:col>
      <xdr:colOff>178525</xdr:colOff>
      <xdr:row>69</xdr:row>
      <xdr:rowOff>0</xdr:rowOff>
    </xdr:to>
    <xdr:cxnSp macro="">
      <xdr:nvCxnSpPr>
        <xdr:cNvPr id="45" name="Straight Arrow Connector 44">
          <a:extLst>
            <a:ext uri="{FF2B5EF4-FFF2-40B4-BE49-F238E27FC236}">
              <a16:creationId xmlns:a16="http://schemas.microsoft.com/office/drawing/2014/main" id="{2D5F0E97-0111-48FF-8489-C04C90919340}"/>
            </a:ext>
          </a:extLst>
        </xdr:cNvPr>
        <xdr:cNvCxnSpPr/>
      </xdr:nvCxnSpPr>
      <xdr:spPr>
        <a:xfrm flipH="1">
          <a:off x="959031" y="52724957"/>
          <a:ext cx="4354" cy="2786744"/>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195946</xdr:colOff>
      <xdr:row>122</xdr:row>
      <xdr:rowOff>65315</xdr:rowOff>
    </xdr:from>
    <xdr:to>
      <xdr:col>2</xdr:col>
      <xdr:colOff>228602</xdr:colOff>
      <xdr:row>124</xdr:row>
      <xdr:rowOff>0</xdr:rowOff>
    </xdr:to>
    <xdr:cxnSp macro="">
      <xdr:nvCxnSpPr>
        <xdr:cNvPr id="46" name="Straight Arrow Connector 45">
          <a:extLst>
            <a:ext uri="{FF2B5EF4-FFF2-40B4-BE49-F238E27FC236}">
              <a16:creationId xmlns:a16="http://schemas.microsoft.com/office/drawing/2014/main" id="{BD241A5F-41D9-4915-9179-A2EC6582938D}"/>
            </a:ext>
          </a:extLst>
        </xdr:cNvPr>
        <xdr:cNvCxnSpPr/>
      </xdr:nvCxnSpPr>
      <xdr:spPr>
        <a:xfrm flipH="1">
          <a:off x="980806" y="82551815"/>
          <a:ext cx="32656" cy="2982685"/>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220621</xdr:colOff>
      <xdr:row>169</xdr:row>
      <xdr:rowOff>55023</xdr:rowOff>
    </xdr:from>
    <xdr:to>
      <xdr:col>2</xdr:col>
      <xdr:colOff>231507</xdr:colOff>
      <xdr:row>172</xdr:row>
      <xdr:rowOff>237810</xdr:rowOff>
    </xdr:to>
    <xdr:cxnSp macro="">
      <xdr:nvCxnSpPr>
        <xdr:cNvPr id="17" name="Straight Arrow Connector 16">
          <a:extLst>
            <a:ext uri="{FF2B5EF4-FFF2-40B4-BE49-F238E27FC236}">
              <a16:creationId xmlns:a16="http://schemas.microsoft.com/office/drawing/2014/main" id="{96BB688E-7B35-41E4-B79E-EE885821146E}"/>
            </a:ext>
          </a:extLst>
        </xdr:cNvPr>
        <xdr:cNvCxnSpPr/>
      </xdr:nvCxnSpPr>
      <xdr:spPr>
        <a:xfrm>
          <a:off x="666098" y="108938961"/>
          <a:ext cx="10886" cy="1706787"/>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8</xdr:col>
      <xdr:colOff>304801</xdr:colOff>
      <xdr:row>125</xdr:row>
      <xdr:rowOff>222738</xdr:rowOff>
    </xdr:from>
    <xdr:to>
      <xdr:col>12</xdr:col>
      <xdr:colOff>738557</xdr:colOff>
      <xdr:row>134</xdr:row>
      <xdr:rowOff>304800</xdr:rowOff>
    </xdr:to>
    <xdr:graphicFrame macro="">
      <xdr:nvGraphicFramePr>
        <xdr:cNvPr id="7" name="Chart 6">
          <a:extLst>
            <a:ext uri="{FF2B5EF4-FFF2-40B4-BE49-F238E27FC236}">
              <a16:creationId xmlns:a16="http://schemas.microsoft.com/office/drawing/2014/main" id="{899E7FF3-C872-4EFD-BFF7-272A6D034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1348155</xdr:colOff>
      <xdr:row>1</xdr:row>
      <xdr:rowOff>205544</xdr:rowOff>
    </xdr:from>
    <xdr:to>
      <xdr:col>3</xdr:col>
      <xdr:colOff>1840523</xdr:colOff>
      <xdr:row>1</xdr:row>
      <xdr:rowOff>706802</xdr:rowOff>
    </xdr:to>
    <xdr:pic>
      <xdr:nvPicPr>
        <xdr:cNvPr id="24" name="Graphic 23" descr="Train outline">
          <a:extLst>
            <a:ext uri="{FF2B5EF4-FFF2-40B4-BE49-F238E27FC236}">
              <a16:creationId xmlns:a16="http://schemas.microsoft.com/office/drawing/2014/main" id="{ECB4E988-0983-A52B-0644-2D006281087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056555" y="804984"/>
          <a:ext cx="492368" cy="501258"/>
        </a:xfrm>
        <a:prstGeom prst="rect">
          <a:avLst/>
        </a:prstGeom>
      </xdr:spPr>
    </xdr:pic>
    <xdr:clientData/>
  </xdr:twoCellAnchor>
  <xdr:twoCellAnchor>
    <xdr:from>
      <xdr:col>8</xdr:col>
      <xdr:colOff>316523</xdr:colOff>
      <xdr:row>2</xdr:row>
      <xdr:rowOff>316523</xdr:rowOff>
    </xdr:from>
    <xdr:to>
      <xdr:col>9</xdr:col>
      <xdr:colOff>750275</xdr:colOff>
      <xdr:row>3</xdr:row>
      <xdr:rowOff>110380</xdr:rowOff>
    </xdr:to>
    <xdr:sp macro="" textlink="">
      <xdr:nvSpPr>
        <xdr:cNvPr id="36" name="Flowchart: Connector 35">
          <a:extLst>
            <a:ext uri="{FF2B5EF4-FFF2-40B4-BE49-F238E27FC236}">
              <a16:creationId xmlns:a16="http://schemas.microsoft.com/office/drawing/2014/main" id="{22B3660A-CEC2-41D1-B549-7338261C6810}"/>
            </a:ext>
          </a:extLst>
        </xdr:cNvPr>
        <xdr:cNvSpPr/>
      </xdr:nvSpPr>
      <xdr:spPr>
        <a:xfrm>
          <a:off x="13036061" y="1500554"/>
          <a:ext cx="1055076" cy="297949"/>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10</xdr:col>
      <xdr:colOff>1746737</xdr:colOff>
      <xdr:row>1</xdr:row>
      <xdr:rowOff>70339</xdr:rowOff>
    </xdr:from>
    <xdr:to>
      <xdr:col>11</xdr:col>
      <xdr:colOff>679937</xdr:colOff>
      <xdr:row>1</xdr:row>
      <xdr:rowOff>867508</xdr:rowOff>
    </xdr:to>
    <xdr:grpSp>
      <xdr:nvGrpSpPr>
        <xdr:cNvPr id="92" name="Group 91">
          <a:extLst>
            <a:ext uri="{FF2B5EF4-FFF2-40B4-BE49-F238E27FC236}">
              <a16:creationId xmlns:a16="http://schemas.microsoft.com/office/drawing/2014/main" id="{1CB41F92-A829-42E8-86EE-751A6677C7E9}"/>
            </a:ext>
          </a:extLst>
        </xdr:cNvPr>
        <xdr:cNvGrpSpPr/>
      </xdr:nvGrpSpPr>
      <xdr:grpSpPr>
        <a:xfrm>
          <a:off x="17881510" y="373407"/>
          <a:ext cx="708313" cy="797169"/>
          <a:chOff x="18557628" y="410308"/>
          <a:chExt cx="750277" cy="808892"/>
        </a:xfrm>
      </xdr:grpSpPr>
      <xdr:pic>
        <xdr:nvPicPr>
          <xdr:cNvPr id="95" name="Graphic 94" descr="Home outline">
            <a:hlinkClick xmlns:r="http://schemas.openxmlformats.org/officeDocument/2006/relationships" r:id="rId4"/>
            <a:extLst>
              <a:ext uri="{FF2B5EF4-FFF2-40B4-BE49-F238E27FC236}">
                <a16:creationId xmlns:a16="http://schemas.microsoft.com/office/drawing/2014/main" id="{E111B455-1FA9-C442-9830-3C3E3EB6867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8604519" y="410308"/>
            <a:ext cx="504093" cy="507072"/>
          </a:xfrm>
          <a:prstGeom prst="rect">
            <a:avLst/>
          </a:prstGeom>
        </xdr:spPr>
      </xdr:pic>
      <xdr:sp macro="" textlink="">
        <xdr:nvSpPr>
          <xdr:cNvPr id="96" name="TextBox 95">
            <a:hlinkClick xmlns:r="http://schemas.openxmlformats.org/officeDocument/2006/relationships" r:id="rId4"/>
            <a:extLst>
              <a:ext uri="{FF2B5EF4-FFF2-40B4-BE49-F238E27FC236}">
                <a16:creationId xmlns:a16="http://schemas.microsoft.com/office/drawing/2014/main" id="{5162987F-1308-7AD0-EC83-43A17825C946}"/>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twoCellAnchor>
    <xdr:from>
      <xdr:col>9</xdr:col>
      <xdr:colOff>937844</xdr:colOff>
      <xdr:row>1</xdr:row>
      <xdr:rowOff>0</xdr:rowOff>
    </xdr:from>
    <xdr:to>
      <xdr:col>10</xdr:col>
      <xdr:colOff>477713</xdr:colOff>
      <xdr:row>2</xdr:row>
      <xdr:rowOff>296496</xdr:rowOff>
    </xdr:to>
    <xdr:grpSp>
      <xdr:nvGrpSpPr>
        <xdr:cNvPr id="97" name="Group 96">
          <a:hlinkClick xmlns:r="http://schemas.openxmlformats.org/officeDocument/2006/relationships" r:id="rId7"/>
          <a:extLst>
            <a:ext uri="{FF2B5EF4-FFF2-40B4-BE49-F238E27FC236}">
              <a16:creationId xmlns:a16="http://schemas.microsoft.com/office/drawing/2014/main" id="{59E9F2B8-23AC-43CB-B954-8B85CF972CAE}"/>
            </a:ext>
          </a:extLst>
        </xdr:cNvPr>
        <xdr:cNvGrpSpPr/>
      </xdr:nvGrpSpPr>
      <xdr:grpSpPr>
        <a:xfrm>
          <a:off x="14878980" y="303068"/>
          <a:ext cx="1733506" cy="1176837"/>
          <a:chOff x="17335500" y="165100"/>
          <a:chExt cx="1790700" cy="1187450"/>
        </a:xfrm>
      </xdr:grpSpPr>
      <xdr:pic>
        <xdr:nvPicPr>
          <xdr:cNvPr id="98" name="Graphic 97" descr="Badge Question Mark outline">
            <a:extLst>
              <a:ext uri="{FF2B5EF4-FFF2-40B4-BE49-F238E27FC236}">
                <a16:creationId xmlns:a16="http://schemas.microsoft.com/office/drawing/2014/main" id="{85BD1EF0-E7E2-4F67-4C58-929CD6F33C6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7802226" y="165100"/>
            <a:ext cx="638175" cy="638175"/>
          </a:xfrm>
          <a:prstGeom prst="rect">
            <a:avLst/>
          </a:prstGeom>
        </xdr:spPr>
      </xdr:pic>
      <xdr:sp macro="" textlink="">
        <xdr:nvSpPr>
          <xdr:cNvPr id="99" name="TextBox 98">
            <a:hlinkClick xmlns:r="http://schemas.openxmlformats.org/officeDocument/2006/relationships" r:id="rId7"/>
            <a:extLst>
              <a:ext uri="{FF2B5EF4-FFF2-40B4-BE49-F238E27FC236}">
                <a16:creationId xmlns:a16="http://schemas.microsoft.com/office/drawing/2014/main" id="{3FF1C0D9-D7DD-ECF0-FF46-8E457B9E8523}"/>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10</xdr:col>
      <xdr:colOff>550983</xdr:colOff>
      <xdr:row>1</xdr:row>
      <xdr:rowOff>70338</xdr:rowOff>
    </xdr:from>
    <xdr:to>
      <xdr:col>10</xdr:col>
      <xdr:colOff>1406767</xdr:colOff>
      <xdr:row>1</xdr:row>
      <xdr:rowOff>867508</xdr:rowOff>
    </xdr:to>
    <xdr:grpSp>
      <xdr:nvGrpSpPr>
        <xdr:cNvPr id="100" name="Group 99">
          <a:hlinkClick xmlns:r="http://schemas.openxmlformats.org/officeDocument/2006/relationships" r:id="rId10"/>
          <a:extLst>
            <a:ext uri="{FF2B5EF4-FFF2-40B4-BE49-F238E27FC236}">
              <a16:creationId xmlns:a16="http://schemas.microsoft.com/office/drawing/2014/main" id="{700095D4-174B-400A-B7D8-6B44545B44BD}"/>
            </a:ext>
          </a:extLst>
        </xdr:cNvPr>
        <xdr:cNvGrpSpPr/>
      </xdr:nvGrpSpPr>
      <xdr:grpSpPr>
        <a:xfrm>
          <a:off x="16685756" y="373406"/>
          <a:ext cx="855784" cy="797170"/>
          <a:chOff x="17783906" y="410307"/>
          <a:chExt cx="855784" cy="808893"/>
        </a:xfrm>
      </xdr:grpSpPr>
      <xdr:sp macro="" textlink="">
        <xdr:nvSpPr>
          <xdr:cNvPr id="101" name="TextBox 100">
            <a:hlinkClick xmlns:r="http://schemas.openxmlformats.org/officeDocument/2006/relationships" r:id="rId10"/>
            <a:extLst>
              <a:ext uri="{FF2B5EF4-FFF2-40B4-BE49-F238E27FC236}">
                <a16:creationId xmlns:a16="http://schemas.microsoft.com/office/drawing/2014/main" id="{F94C8458-2DF5-98A4-F5E8-3FE03B40620A}"/>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102" name="Graphic 101" descr="List outline">
            <a:extLst>
              <a:ext uri="{FF2B5EF4-FFF2-40B4-BE49-F238E27FC236}">
                <a16:creationId xmlns:a16="http://schemas.microsoft.com/office/drawing/2014/main" id="{1978A862-53DE-6BDA-F216-5B6B08922088}"/>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7901138" y="410307"/>
            <a:ext cx="539260" cy="531557"/>
          </a:xfrm>
          <a:prstGeom prst="rect">
            <a:avLst/>
          </a:prstGeom>
        </xdr:spPr>
      </xdr:pic>
    </xdr:grpSp>
    <xdr:clientData/>
  </xdr:twoCellAnchor>
  <xdr:twoCellAnchor>
    <xdr:from>
      <xdr:col>2</xdr:col>
      <xdr:colOff>796328</xdr:colOff>
      <xdr:row>172</xdr:row>
      <xdr:rowOff>175850</xdr:rowOff>
    </xdr:from>
    <xdr:to>
      <xdr:col>4</xdr:col>
      <xdr:colOff>262927</xdr:colOff>
      <xdr:row>177</xdr:row>
      <xdr:rowOff>88765</xdr:rowOff>
    </xdr:to>
    <xdr:sp macro="" textlink="">
      <xdr:nvSpPr>
        <xdr:cNvPr id="3" name="TextBox 2">
          <a:hlinkClick xmlns:r="http://schemas.openxmlformats.org/officeDocument/2006/relationships" r:id="rId13"/>
          <a:extLst>
            <a:ext uri="{FF2B5EF4-FFF2-40B4-BE49-F238E27FC236}">
              <a16:creationId xmlns:a16="http://schemas.microsoft.com/office/drawing/2014/main" id="{A38B1F56-297B-4F15-84BD-7A8DB1362693}"/>
            </a:ext>
          </a:extLst>
        </xdr:cNvPr>
        <xdr:cNvSpPr txBox="1"/>
      </xdr:nvSpPr>
      <xdr:spPr>
        <a:xfrm>
          <a:off x="1230082" y="84183419"/>
          <a:ext cx="4542691" cy="1436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1</xdr:col>
      <xdr:colOff>11718</xdr:colOff>
      <xdr:row>173</xdr:row>
      <xdr:rowOff>25125</xdr:rowOff>
    </xdr:from>
    <xdr:to>
      <xdr:col>2</xdr:col>
      <xdr:colOff>738549</xdr:colOff>
      <xdr:row>176</xdr:row>
      <xdr:rowOff>34015</xdr:rowOff>
    </xdr:to>
    <xdr:pic>
      <xdr:nvPicPr>
        <xdr:cNvPr id="4" name="Graphic 3" descr="CheckList outline">
          <a:hlinkClick xmlns:r="http://schemas.openxmlformats.org/officeDocument/2006/relationships" r:id="rId13"/>
          <a:extLst>
            <a:ext uri="{FF2B5EF4-FFF2-40B4-BE49-F238E27FC236}">
              <a16:creationId xmlns:a16="http://schemas.microsoft.com/office/drawing/2014/main" id="{5237ABC4-DDEE-411A-BED6-DED1D97D0782}"/>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257903" y="84337494"/>
          <a:ext cx="914400" cy="914400"/>
        </a:xfrm>
        <a:prstGeom prst="rect">
          <a:avLst/>
        </a:prstGeom>
      </xdr:spPr>
    </xdr:pic>
    <xdr:clientData/>
  </xdr:twoCellAnchor>
  <xdr:twoCellAnchor>
    <xdr:from>
      <xdr:col>8</xdr:col>
      <xdr:colOff>274320</xdr:colOff>
      <xdr:row>18</xdr:row>
      <xdr:rowOff>142240</xdr:rowOff>
    </xdr:from>
    <xdr:to>
      <xdr:col>9</xdr:col>
      <xdr:colOff>743243</xdr:colOff>
      <xdr:row>19</xdr:row>
      <xdr:rowOff>153963</xdr:rowOff>
    </xdr:to>
    <xdr:sp macro="" textlink="">
      <xdr:nvSpPr>
        <xdr:cNvPr id="2" name="Flowchart: Connector 1">
          <a:extLst>
            <a:ext uri="{FF2B5EF4-FFF2-40B4-BE49-F238E27FC236}">
              <a16:creationId xmlns:a16="http://schemas.microsoft.com/office/drawing/2014/main" id="{0646BDD1-D0F9-4433-8FD8-506E1546D491}"/>
            </a:ext>
          </a:extLst>
        </xdr:cNvPr>
        <xdr:cNvSpPr/>
      </xdr:nvSpPr>
      <xdr:spPr>
        <a:xfrm>
          <a:off x="14000480" y="10068560"/>
          <a:ext cx="1088683" cy="316523"/>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174171</xdr:colOff>
      <xdr:row>46</xdr:row>
      <xdr:rowOff>32657</xdr:rowOff>
    </xdr:from>
    <xdr:to>
      <xdr:col>2</xdr:col>
      <xdr:colOff>178525</xdr:colOff>
      <xdr:row>48</xdr:row>
      <xdr:rowOff>76201</xdr:rowOff>
    </xdr:to>
    <xdr:cxnSp macro="">
      <xdr:nvCxnSpPr>
        <xdr:cNvPr id="6" name="Straight Arrow Connector 5">
          <a:extLst>
            <a:ext uri="{FF2B5EF4-FFF2-40B4-BE49-F238E27FC236}">
              <a16:creationId xmlns:a16="http://schemas.microsoft.com/office/drawing/2014/main" id="{552097BC-1055-4A1C-802C-F1B22D573178}"/>
            </a:ext>
          </a:extLst>
        </xdr:cNvPr>
        <xdr:cNvCxnSpPr/>
      </xdr:nvCxnSpPr>
      <xdr:spPr>
        <a:xfrm flipH="1">
          <a:off x="959031" y="45485957"/>
          <a:ext cx="4354" cy="2786744"/>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222739</xdr:colOff>
      <xdr:row>71</xdr:row>
      <xdr:rowOff>65315</xdr:rowOff>
    </xdr:from>
    <xdr:to>
      <xdr:col>2</xdr:col>
      <xdr:colOff>228602</xdr:colOff>
      <xdr:row>73</xdr:row>
      <xdr:rowOff>269631</xdr:rowOff>
    </xdr:to>
    <xdr:cxnSp macro="">
      <xdr:nvCxnSpPr>
        <xdr:cNvPr id="7" name="Straight Arrow Connector 6">
          <a:extLst>
            <a:ext uri="{FF2B5EF4-FFF2-40B4-BE49-F238E27FC236}">
              <a16:creationId xmlns:a16="http://schemas.microsoft.com/office/drawing/2014/main" id="{EC2F4A4B-664F-4702-A9A7-3C55B90ED586}"/>
            </a:ext>
          </a:extLst>
        </xdr:cNvPr>
        <xdr:cNvCxnSpPr/>
      </xdr:nvCxnSpPr>
      <xdr:spPr>
        <a:xfrm flipH="1">
          <a:off x="1008185" y="38305992"/>
          <a:ext cx="5863" cy="813916"/>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408182</xdr:colOff>
      <xdr:row>101</xdr:row>
      <xdr:rowOff>23444</xdr:rowOff>
    </xdr:from>
    <xdr:to>
      <xdr:col>2</xdr:col>
      <xdr:colOff>419068</xdr:colOff>
      <xdr:row>103</xdr:row>
      <xdr:rowOff>206231</xdr:rowOff>
    </xdr:to>
    <xdr:cxnSp macro="">
      <xdr:nvCxnSpPr>
        <xdr:cNvPr id="34" name="Straight Arrow Connector 33">
          <a:extLst>
            <a:ext uri="{FF2B5EF4-FFF2-40B4-BE49-F238E27FC236}">
              <a16:creationId xmlns:a16="http://schemas.microsoft.com/office/drawing/2014/main" id="{5C9A4C7D-897D-41D1-9920-684863633096}"/>
            </a:ext>
          </a:extLst>
        </xdr:cNvPr>
        <xdr:cNvCxnSpPr/>
      </xdr:nvCxnSpPr>
      <xdr:spPr>
        <a:xfrm>
          <a:off x="1193628" y="50080982"/>
          <a:ext cx="10886" cy="1706787"/>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1435886</xdr:colOff>
      <xdr:row>1</xdr:row>
      <xdr:rowOff>203200</xdr:rowOff>
    </xdr:from>
    <xdr:to>
      <xdr:col>4</xdr:col>
      <xdr:colOff>2114846</xdr:colOff>
      <xdr:row>1</xdr:row>
      <xdr:rowOff>719016</xdr:rowOff>
    </xdr:to>
    <xdr:grpSp>
      <xdr:nvGrpSpPr>
        <xdr:cNvPr id="44" name="Group 43">
          <a:extLst>
            <a:ext uri="{FF2B5EF4-FFF2-40B4-BE49-F238E27FC236}">
              <a16:creationId xmlns:a16="http://schemas.microsoft.com/office/drawing/2014/main" id="{16CC0E67-9727-E248-4F42-A95096A622F7}"/>
            </a:ext>
          </a:extLst>
        </xdr:cNvPr>
        <xdr:cNvGrpSpPr/>
      </xdr:nvGrpSpPr>
      <xdr:grpSpPr>
        <a:xfrm>
          <a:off x="6799194" y="510931"/>
          <a:ext cx="678960" cy="515816"/>
          <a:chOff x="15286892" y="328245"/>
          <a:chExt cx="707205" cy="772785"/>
        </a:xfrm>
      </xdr:grpSpPr>
      <xdr:pic>
        <xdr:nvPicPr>
          <xdr:cNvPr id="14" name="Graphic 13" descr="Cruise ship with solid fill">
            <a:extLst>
              <a:ext uri="{FF2B5EF4-FFF2-40B4-BE49-F238E27FC236}">
                <a16:creationId xmlns:a16="http://schemas.microsoft.com/office/drawing/2014/main" id="{DA683D45-DFBC-4777-812D-3173A642683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286892" y="328245"/>
            <a:ext cx="707205" cy="772785"/>
          </a:xfrm>
          <a:prstGeom prst="rect">
            <a:avLst/>
          </a:prstGeom>
        </xdr:spPr>
      </xdr:pic>
      <xdr:sp macro="" textlink="">
        <xdr:nvSpPr>
          <xdr:cNvPr id="12" name="Rectangle: Rounded Corners 11">
            <a:extLst>
              <a:ext uri="{FF2B5EF4-FFF2-40B4-BE49-F238E27FC236}">
                <a16:creationId xmlns:a16="http://schemas.microsoft.com/office/drawing/2014/main" id="{1E937AC4-BC54-4B33-893B-D28EFBA7CE63}"/>
              </a:ext>
            </a:extLst>
          </xdr:cNvPr>
          <xdr:cNvSpPr/>
        </xdr:nvSpPr>
        <xdr:spPr>
          <a:xfrm>
            <a:off x="15439293" y="445478"/>
            <a:ext cx="339969" cy="164123"/>
          </a:xfrm>
          <a:prstGeom prst="roundRect">
            <a:avLst/>
          </a:prstGeom>
          <a:solidFill>
            <a:srgbClr val="02A39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2446606</xdr:colOff>
      <xdr:row>75</xdr:row>
      <xdr:rowOff>113712</xdr:rowOff>
    </xdr:from>
    <xdr:to>
      <xdr:col>12</xdr:col>
      <xdr:colOff>1172</xdr:colOff>
      <xdr:row>83</xdr:row>
      <xdr:rowOff>414408</xdr:rowOff>
    </xdr:to>
    <xdr:graphicFrame macro="">
      <xdr:nvGraphicFramePr>
        <xdr:cNvPr id="4" name="Chart 3">
          <a:extLst>
            <a:ext uri="{FF2B5EF4-FFF2-40B4-BE49-F238E27FC236}">
              <a16:creationId xmlns:a16="http://schemas.microsoft.com/office/drawing/2014/main" id="{0AF5972E-BA6A-4F9B-A4A8-15A2C1819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128952</xdr:colOff>
      <xdr:row>1</xdr:row>
      <xdr:rowOff>70339</xdr:rowOff>
    </xdr:from>
    <xdr:to>
      <xdr:col>11</xdr:col>
      <xdr:colOff>879229</xdr:colOff>
      <xdr:row>1</xdr:row>
      <xdr:rowOff>879231</xdr:rowOff>
    </xdr:to>
    <xdr:grpSp>
      <xdr:nvGrpSpPr>
        <xdr:cNvPr id="24" name="Group 23">
          <a:extLst>
            <a:ext uri="{FF2B5EF4-FFF2-40B4-BE49-F238E27FC236}">
              <a16:creationId xmlns:a16="http://schemas.microsoft.com/office/drawing/2014/main" id="{EFD40BDD-D848-4A36-8C24-E57423C9863C}"/>
            </a:ext>
          </a:extLst>
        </xdr:cNvPr>
        <xdr:cNvGrpSpPr/>
      </xdr:nvGrpSpPr>
      <xdr:grpSpPr>
        <a:xfrm>
          <a:off x="18534183" y="378070"/>
          <a:ext cx="750277" cy="808892"/>
          <a:chOff x="18557628" y="410308"/>
          <a:chExt cx="750277" cy="808892"/>
        </a:xfrm>
      </xdr:grpSpPr>
      <xdr:pic>
        <xdr:nvPicPr>
          <xdr:cNvPr id="25" name="Graphic 24" descr="Home outline">
            <a:hlinkClick xmlns:r="http://schemas.openxmlformats.org/officeDocument/2006/relationships" r:id="rId4"/>
            <a:extLst>
              <a:ext uri="{FF2B5EF4-FFF2-40B4-BE49-F238E27FC236}">
                <a16:creationId xmlns:a16="http://schemas.microsoft.com/office/drawing/2014/main" id="{9FA7AD57-7317-D47D-DB00-DECB142CFD77}"/>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8604519" y="410308"/>
            <a:ext cx="504093" cy="507072"/>
          </a:xfrm>
          <a:prstGeom prst="rect">
            <a:avLst/>
          </a:prstGeom>
        </xdr:spPr>
      </xdr:pic>
      <xdr:sp macro="" textlink="">
        <xdr:nvSpPr>
          <xdr:cNvPr id="26" name="TextBox 25">
            <a:hlinkClick xmlns:r="http://schemas.openxmlformats.org/officeDocument/2006/relationships" r:id="rId4"/>
            <a:extLst>
              <a:ext uri="{FF2B5EF4-FFF2-40B4-BE49-F238E27FC236}">
                <a16:creationId xmlns:a16="http://schemas.microsoft.com/office/drawing/2014/main" id="{4FB897D2-5E2E-6881-D7E3-59296A627902}"/>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twoCellAnchor>
    <xdr:from>
      <xdr:col>9</xdr:col>
      <xdr:colOff>1397000</xdr:colOff>
      <xdr:row>1</xdr:row>
      <xdr:rowOff>0</xdr:rowOff>
    </xdr:from>
    <xdr:to>
      <xdr:col>10</xdr:col>
      <xdr:colOff>736600</xdr:colOff>
      <xdr:row>2</xdr:row>
      <xdr:rowOff>298450</xdr:rowOff>
    </xdr:to>
    <xdr:grpSp>
      <xdr:nvGrpSpPr>
        <xdr:cNvPr id="33" name="Group 32">
          <a:hlinkClick xmlns:r="http://schemas.openxmlformats.org/officeDocument/2006/relationships" r:id="rId7"/>
          <a:extLst>
            <a:ext uri="{FF2B5EF4-FFF2-40B4-BE49-F238E27FC236}">
              <a16:creationId xmlns:a16="http://schemas.microsoft.com/office/drawing/2014/main" id="{BFA7D3EB-A74A-4E7A-AC04-04C33537F309}"/>
            </a:ext>
          </a:extLst>
        </xdr:cNvPr>
        <xdr:cNvGrpSpPr/>
      </xdr:nvGrpSpPr>
      <xdr:grpSpPr>
        <a:xfrm>
          <a:off x="15025077" y="307731"/>
          <a:ext cx="1728177" cy="1177681"/>
          <a:chOff x="17335500" y="165100"/>
          <a:chExt cx="1790700" cy="1187450"/>
        </a:xfrm>
      </xdr:grpSpPr>
      <xdr:pic>
        <xdr:nvPicPr>
          <xdr:cNvPr id="35" name="Graphic 34" descr="Badge Question Mark outline">
            <a:extLst>
              <a:ext uri="{FF2B5EF4-FFF2-40B4-BE49-F238E27FC236}">
                <a16:creationId xmlns:a16="http://schemas.microsoft.com/office/drawing/2014/main" id="{54614DB4-8EBE-6283-2724-DFCD6AD2B78F}"/>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7802226" y="165100"/>
            <a:ext cx="638175" cy="638175"/>
          </a:xfrm>
          <a:prstGeom prst="rect">
            <a:avLst/>
          </a:prstGeom>
        </xdr:spPr>
      </xdr:pic>
      <xdr:sp macro="" textlink="">
        <xdr:nvSpPr>
          <xdr:cNvPr id="40" name="TextBox 39">
            <a:hlinkClick xmlns:r="http://schemas.openxmlformats.org/officeDocument/2006/relationships" r:id="rId7"/>
            <a:extLst>
              <a:ext uri="{FF2B5EF4-FFF2-40B4-BE49-F238E27FC236}">
                <a16:creationId xmlns:a16="http://schemas.microsoft.com/office/drawing/2014/main" id="{175E8F5D-11B5-04A3-6643-5361CB75BF95}"/>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10</xdr:col>
      <xdr:colOff>1126392</xdr:colOff>
      <xdr:row>1</xdr:row>
      <xdr:rowOff>70338</xdr:rowOff>
    </xdr:from>
    <xdr:to>
      <xdr:col>10</xdr:col>
      <xdr:colOff>1982176</xdr:colOff>
      <xdr:row>1</xdr:row>
      <xdr:rowOff>879231</xdr:rowOff>
    </xdr:to>
    <xdr:grpSp>
      <xdr:nvGrpSpPr>
        <xdr:cNvPr id="41" name="Group 40">
          <a:hlinkClick xmlns:r="http://schemas.openxmlformats.org/officeDocument/2006/relationships" r:id="rId10"/>
          <a:extLst>
            <a:ext uri="{FF2B5EF4-FFF2-40B4-BE49-F238E27FC236}">
              <a16:creationId xmlns:a16="http://schemas.microsoft.com/office/drawing/2014/main" id="{7834C955-3633-49CF-8184-EF949DA10B59}"/>
            </a:ext>
          </a:extLst>
        </xdr:cNvPr>
        <xdr:cNvGrpSpPr/>
      </xdr:nvGrpSpPr>
      <xdr:grpSpPr>
        <a:xfrm>
          <a:off x="17143046" y="378069"/>
          <a:ext cx="855784" cy="808893"/>
          <a:chOff x="17783906" y="410307"/>
          <a:chExt cx="855784" cy="808893"/>
        </a:xfrm>
      </xdr:grpSpPr>
      <xdr:sp macro="" textlink="">
        <xdr:nvSpPr>
          <xdr:cNvPr id="42" name="TextBox 41">
            <a:hlinkClick xmlns:r="http://schemas.openxmlformats.org/officeDocument/2006/relationships" r:id="rId10"/>
            <a:extLst>
              <a:ext uri="{FF2B5EF4-FFF2-40B4-BE49-F238E27FC236}">
                <a16:creationId xmlns:a16="http://schemas.microsoft.com/office/drawing/2014/main" id="{6B3298D4-610B-3332-611C-FFDF9B02AD80}"/>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46" name="Graphic 45" descr="List outline">
            <a:extLst>
              <a:ext uri="{FF2B5EF4-FFF2-40B4-BE49-F238E27FC236}">
                <a16:creationId xmlns:a16="http://schemas.microsoft.com/office/drawing/2014/main" id="{B272ADB2-74CB-CC4A-7C0F-B459E4A50044}"/>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7901138" y="410307"/>
            <a:ext cx="539260" cy="531557"/>
          </a:xfrm>
          <a:prstGeom prst="rect">
            <a:avLst/>
          </a:prstGeom>
        </xdr:spPr>
      </xdr:pic>
    </xdr:grpSp>
    <xdr:clientData/>
  </xdr:twoCellAnchor>
  <xdr:twoCellAnchor>
    <xdr:from>
      <xdr:col>2</xdr:col>
      <xdr:colOff>925280</xdr:colOff>
      <xdr:row>103</xdr:row>
      <xdr:rowOff>222742</xdr:rowOff>
    </xdr:from>
    <xdr:to>
      <xdr:col>4</xdr:col>
      <xdr:colOff>778741</xdr:colOff>
      <xdr:row>109</xdr:row>
      <xdr:rowOff>123934</xdr:rowOff>
    </xdr:to>
    <xdr:sp macro="" textlink="">
      <xdr:nvSpPr>
        <xdr:cNvPr id="47" name="TextBox 46">
          <a:hlinkClick xmlns:r="http://schemas.openxmlformats.org/officeDocument/2006/relationships" r:id="rId13"/>
          <a:extLst>
            <a:ext uri="{FF2B5EF4-FFF2-40B4-BE49-F238E27FC236}">
              <a16:creationId xmlns:a16="http://schemas.microsoft.com/office/drawing/2014/main" id="{2D8490E5-9979-4359-9C8E-ADB1BBC7ACF4}"/>
            </a:ext>
          </a:extLst>
        </xdr:cNvPr>
        <xdr:cNvSpPr txBox="1"/>
      </xdr:nvSpPr>
      <xdr:spPr>
        <a:xfrm>
          <a:off x="1359034" y="51593265"/>
          <a:ext cx="4941276" cy="17299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1</xdr:col>
      <xdr:colOff>140670</xdr:colOff>
      <xdr:row>104</xdr:row>
      <xdr:rowOff>72017</xdr:rowOff>
    </xdr:from>
    <xdr:to>
      <xdr:col>2</xdr:col>
      <xdr:colOff>867501</xdr:colOff>
      <xdr:row>107</xdr:row>
      <xdr:rowOff>80907</xdr:rowOff>
    </xdr:to>
    <xdr:pic>
      <xdr:nvPicPr>
        <xdr:cNvPr id="49" name="Graphic 48" descr="CheckList outline">
          <a:hlinkClick xmlns:r="http://schemas.openxmlformats.org/officeDocument/2006/relationships" r:id="rId13"/>
          <a:extLst>
            <a:ext uri="{FF2B5EF4-FFF2-40B4-BE49-F238E27FC236}">
              <a16:creationId xmlns:a16="http://schemas.microsoft.com/office/drawing/2014/main" id="{DE6C26AE-2FD3-457C-83FD-CB521D681A09}"/>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386855" y="51747340"/>
          <a:ext cx="914400" cy="923290"/>
        </a:xfrm>
        <a:prstGeom prst="rect">
          <a:avLst/>
        </a:prstGeom>
      </xdr:spPr>
    </xdr:pic>
    <xdr:clientData/>
  </xdr:twoCellAnchor>
  <xdr:twoCellAnchor>
    <xdr:from>
      <xdr:col>8</xdr:col>
      <xdr:colOff>293077</xdr:colOff>
      <xdr:row>2</xdr:row>
      <xdr:rowOff>128954</xdr:rowOff>
    </xdr:from>
    <xdr:to>
      <xdr:col>9</xdr:col>
      <xdr:colOff>797169</xdr:colOff>
      <xdr:row>3</xdr:row>
      <xdr:rowOff>128954</xdr:rowOff>
    </xdr:to>
    <xdr:sp macro="" textlink="">
      <xdr:nvSpPr>
        <xdr:cNvPr id="54" name="Flowchart: Connector 53">
          <a:extLst>
            <a:ext uri="{FF2B5EF4-FFF2-40B4-BE49-F238E27FC236}">
              <a16:creationId xmlns:a16="http://schemas.microsoft.com/office/drawing/2014/main" id="{C0D8C547-CDB6-439E-BA73-EF810CA716D6}"/>
            </a:ext>
          </a:extLst>
        </xdr:cNvPr>
        <xdr:cNvSpPr/>
      </xdr:nvSpPr>
      <xdr:spPr>
        <a:xfrm>
          <a:off x="13704277" y="1324708"/>
          <a:ext cx="1125415" cy="304800"/>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174171</xdr:colOff>
      <xdr:row>64</xdr:row>
      <xdr:rowOff>32657</xdr:rowOff>
    </xdr:from>
    <xdr:to>
      <xdr:col>2</xdr:col>
      <xdr:colOff>178525</xdr:colOff>
      <xdr:row>68</xdr:row>
      <xdr:rowOff>76201</xdr:rowOff>
    </xdr:to>
    <xdr:cxnSp macro="">
      <xdr:nvCxnSpPr>
        <xdr:cNvPr id="2" name="Straight Arrow Connector 1">
          <a:extLst>
            <a:ext uri="{FF2B5EF4-FFF2-40B4-BE49-F238E27FC236}">
              <a16:creationId xmlns:a16="http://schemas.microsoft.com/office/drawing/2014/main" id="{5994CBB1-E5CF-4912-85F4-9D063D08C00B}"/>
            </a:ext>
          </a:extLst>
        </xdr:cNvPr>
        <xdr:cNvCxnSpPr/>
      </xdr:nvCxnSpPr>
      <xdr:spPr>
        <a:xfrm flipH="1">
          <a:off x="608511" y="30177377"/>
          <a:ext cx="4354" cy="1034144"/>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195946</xdr:colOff>
      <xdr:row>130</xdr:row>
      <xdr:rowOff>65315</xdr:rowOff>
    </xdr:from>
    <xdr:to>
      <xdr:col>2</xdr:col>
      <xdr:colOff>228602</xdr:colOff>
      <xdr:row>136</xdr:row>
      <xdr:rowOff>0</xdr:rowOff>
    </xdr:to>
    <xdr:cxnSp macro="">
      <xdr:nvCxnSpPr>
        <xdr:cNvPr id="3" name="Straight Arrow Connector 2">
          <a:extLst>
            <a:ext uri="{FF2B5EF4-FFF2-40B4-BE49-F238E27FC236}">
              <a16:creationId xmlns:a16="http://schemas.microsoft.com/office/drawing/2014/main" id="{A94E77AE-25F3-4186-BF64-EAAC2C94681A}"/>
            </a:ext>
          </a:extLst>
        </xdr:cNvPr>
        <xdr:cNvCxnSpPr/>
      </xdr:nvCxnSpPr>
      <xdr:spPr>
        <a:xfrm flipH="1">
          <a:off x="630286" y="61840655"/>
          <a:ext cx="32656" cy="1031965"/>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206829</xdr:colOff>
      <xdr:row>176</xdr:row>
      <xdr:rowOff>119744</xdr:rowOff>
    </xdr:from>
    <xdr:to>
      <xdr:col>2</xdr:col>
      <xdr:colOff>228600</xdr:colOff>
      <xdr:row>181</xdr:row>
      <xdr:rowOff>76200</xdr:rowOff>
    </xdr:to>
    <xdr:cxnSp macro="">
      <xdr:nvCxnSpPr>
        <xdr:cNvPr id="5" name="Straight Arrow Connector 4">
          <a:extLst>
            <a:ext uri="{FF2B5EF4-FFF2-40B4-BE49-F238E27FC236}">
              <a16:creationId xmlns:a16="http://schemas.microsoft.com/office/drawing/2014/main" id="{A906D3D3-967B-4D8C-A4E3-539B1CF6240D}"/>
            </a:ext>
          </a:extLst>
        </xdr:cNvPr>
        <xdr:cNvCxnSpPr/>
      </xdr:nvCxnSpPr>
      <xdr:spPr>
        <a:xfrm flipH="1">
          <a:off x="641169" y="83535884"/>
          <a:ext cx="21771" cy="886096"/>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308066</xdr:colOff>
      <xdr:row>112</xdr:row>
      <xdr:rowOff>3266</xdr:rowOff>
    </xdr:from>
    <xdr:to>
      <xdr:col>7</xdr:col>
      <xdr:colOff>10885</xdr:colOff>
      <xdr:row>113</xdr:row>
      <xdr:rowOff>413658</xdr:rowOff>
    </xdr:to>
    <xdr:sp macro="" textlink="">
      <xdr:nvSpPr>
        <xdr:cNvPr id="6" name="TextBox 5">
          <a:extLst>
            <a:ext uri="{FF2B5EF4-FFF2-40B4-BE49-F238E27FC236}">
              <a16:creationId xmlns:a16="http://schemas.microsoft.com/office/drawing/2014/main" id="{4E25740D-D569-4D42-B992-FBFC4C13ABB5}"/>
            </a:ext>
          </a:extLst>
        </xdr:cNvPr>
        <xdr:cNvSpPr txBox="1"/>
      </xdr:nvSpPr>
      <xdr:spPr>
        <a:xfrm>
          <a:off x="742406" y="61584840"/>
          <a:ext cx="11917679" cy="0"/>
        </a:xfrm>
        <a:prstGeom prst="rect">
          <a:avLst/>
        </a:prstGeom>
        <a:solidFill>
          <a:srgbClr val="FFC0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0" i="0" u="none" strike="noStrike" baseline="0">
              <a:solidFill>
                <a:srgbClr val="993300"/>
              </a:solidFill>
              <a:effectLst/>
              <a:latin typeface="Aptos" panose="020B0004020202020204" pitchFamily="34" charset="0"/>
              <a:ea typeface="+mn-ea"/>
              <a:cs typeface="+mn-cs"/>
            </a:rPr>
            <a:t>             1. Completar esta secção caso tenha seleccionado a opção II;</a:t>
          </a:r>
        </a:p>
        <a:p>
          <a:pPr algn="l"/>
          <a:r>
            <a:rPr lang="en-GB" sz="1400" b="0" i="0" u="none" strike="noStrike" baseline="0">
              <a:solidFill>
                <a:srgbClr val="993300"/>
              </a:solidFill>
              <a:effectLst/>
              <a:latin typeface="Aptos" panose="020B0004020202020204" pitchFamily="34" charset="0"/>
              <a:ea typeface="+mn-ea"/>
              <a:cs typeface="+mn-cs"/>
            </a:rPr>
            <a:t>             2. Definir os tempos de viagem em movimentos pendulares para os vários modos de transporte;</a:t>
          </a:r>
        </a:p>
        <a:p>
          <a:pPr algn="l"/>
          <a:r>
            <a:rPr lang="en-GB" sz="1400" b="0" i="0" u="none" strike="noStrike" baseline="0">
              <a:solidFill>
                <a:srgbClr val="993300"/>
              </a:solidFill>
              <a:effectLst/>
              <a:latin typeface="Aptos" panose="020B0004020202020204" pitchFamily="34" charset="0"/>
              <a:ea typeface="+mn-ea"/>
              <a:cs typeface="+mn-cs"/>
            </a:rPr>
            <a:t>             3. Especificar a </a:t>
          </a:r>
          <a:r>
            <a:rPr lang="en-GB" sz="1400" b="1" i="0" u="none" strike="noStrike" baseline="0">
              <a:solidFill>
                <a:srgbClr val="993300"/>
              </a:solidFill>
              <a:effectLst/>
              <a:latin typeface="Aptos" panose="020B0004020202020204" pitchFamily="34" charset="0"/>
              <a:ea typeface="+mn-ea"/>
              <a:cs typeface="+mn-cs"/>
            </a:rPr>
            <a:t>fonte dos dados </a:t>
          </a:r>
          <a:r>
            <a:rPr lang="en-GB" sz="1400" b="0" i="0" u="none" strike="noStrike" baseline="0">
              <a:solidFill>
                <a:srgbClr val="993300"/>
              </a:solidFill>
              <a:effectLst/>
              <a:latin typeface="Aptos" panose="020B0004020202020204" pitchFamily="34" charset="0"/>
              <a:ea typeface="+mn-ea"/>
              <a:cs typeface="+mn-cs"/>
            </a:rPr>
            <a:t>e a </a:t>
          </a:r>
          <a:r>
            <a:rPr lang="en-GB" sz="1400" b="1" i="0" u="none" strike="noStrike" baseline="0">
              <a:solidFill>
                <a:srgbClr val="993300"/>
              </a:solidFill>
              <a:effectLst/>
              <a:latin typeface="Aptos" panose="020B0004020202020204" pitchFamily="34" charset="0"/>
              <a:ea typeface="+mn-ea"/>
              <a:cs typeface="+mn-cs"/>
            </a:rPr>
            <a:t>metodologia</a:t>
          </a:r>
          <a:r>
            <a:rPr lang="en-GB" sz="1400" b="0" i="0" u="none" strike="noStrike" baseline="0">
              <a:solidFill>
                <a:srgbClr val="993300"/>
              </a:solidFill>
              <a:effectLst/>
              <a:latin typeface="Aptos" panose="020B0004020202020204" pitchFamily="34" charset="0"/>
              <a:ea typeface="+mn-ea"/>
              <a:cs typeface="+mn-cs"/>
            </a:rPr>
            <a:t> utilizada para estimar os tempos médios de viagem.</a:t>
          </a:r>
        </a:p>
        <a:p>
          <a:pPr algn="l"/>
          <a:r>
            <a:rPr lang="en-GB" sz="1400" b="0" i="0" u="none" strike="noStrike" baseline="0">
              <a:solidFill>
                <a:srgbClr val="993300"/>
              </a:solidFill>
              <a:effectLst/>
              <a:latin typeface="Aptos" panose="020B0004020202020204" pitchFamily="34" charset="0"/>
              <a:ea typeface="+mn-ea"/>
              <a:cs typeface="+mn-cs"/>
            </a:rPr>
            <a:t>             4. Sugestão: Utilizar a ferramenta                                      para calcular os tempos de viagem.</a:t>
          </a:r>
        </a:p>
      </xdr:txBody>
    </xdr:sp>
    <xdr:clientData/>
  </xdr:twoCellAnchor>
  <xdr:twoCellAnchor>
    <xdr:from>
      <xdr:col>1</xdr:col>
      <xdr:colOff>185057</xdr:colOff>
      <xdr:row>111</xdr:row>
      <xdr:rowOff>130628</xdr:rowOff>
    </xdr:from>
    <xdr:to>
      <xdr:col>2</xdr:col>
      <xdr:colOff>729342</xdr:colOff>
      <xdr:row>112</xdr:row>
      <xdr:rowOff>261256</xdr:rowOff>
    </xdr:to>
    <xdr:sp macro="" textlink="">
      <xdr:nvSpPr>
        <xdr:cNvPr id="7" name="Flowchart: Connector 6">
          <a:extLst>
            <a:ext uri="{FF2B5EF4-FFF2-40B4-BE49-F238E27FC236}">
              <a16:creationId xmlns:a16="http://schemas.microsoft.com/office/drawing/2014/main" id="{A4C2EF56-9251-4E0C-9A9F-8207E3CB3596}"/>
            </a:ext>
          </a:extLst>
        </xdr:cNvPr>
        <xdr:cNvSpPr/>
      </xdr:nvSpPr>
      <xdr:spPr>
        <a:xfrm>
          <a:off x="436517" y="61584840"/>
          <a:ext cx="727165" cy="0"/>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i="0">
              <a:solidFill>
                <a:srgbClr val="993300"/>
              </a:solidFill>
              <a:latin typeface="Aptos" panose="020B0004020202020204" pitchFamily="34" charset="0"/>
            </a:rPr>
            <a:t>info</a:t>
          </a:r>
        </a:p>
      </xdr:txBody>
    </xdr:sp>
    <xdr:clientData/>
  </xdr:twoCellAnchor>
  <xdr:twoCellAnchor>
    <xdr:from>
      <xdr:col>3</xdr:col>
      <xdr:colOff>587829</xdr:colOff>
      <xdr:row>112</xdr:row>
      <xdr:rowOff>718457</xdr:rowOff>
    </xdr:from>
    <xdr:to>
      <xdr:col>4</xdr:col>
      <xdr:colOff>957943</xdr:colOff>
      <xdr:row>113</xdr:row>
      <xdr:rowOff>283028</xdr:rowOff>
    </xdr:to>
    <xdr:sp macro="" textlink="">
      <xdr:nvSpPr>
        <xdr:cNvPr id="8" name="TextBox 7">
          <a:hlinkClick xmlns:r="http://schemas.openxmlformats.org/officeDocument/2006/relationships" r:id="rId1"/>
          <a:extLst>
            <a:ext uri="{FF2B5EF4-FFF2-40B4-BE49-F238E27FC236}">
              <a16:creationId xmlns:a16="http://schemas.microsoft.com/office/drawing/2014/main" id="{4D0BBD76-57F7-453D-B99B-7F77C8909BDA}"/>
            </a:ext>
          </a:extLst>
        </xdr:cNvPr>
        <xdr:cNvSpPr txBox="1"/>
      </xdr:nvSpPr>
      <xdr:spPr>
        <a:xfrm>
          <a:off x="4314009" y="61584840"/>
          <a:ext cx="1490254" cy="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i="0" u="none" strike="noStrike" baseline="0">
              <a:solidFill>
                <a:schemeClr val="bg1"/>
              </a:solidFill>
              <a:effectLst/>
              <a:latin typeface="Aptos" panose="020B0004020202020204" pitchFamily="34" charset="0"/>
              <a:ea typeface="+mn-ea"/>
              <a:cs typeface="+mn-cs"/>
            </a:rPr>
            <a:t>"googlemaps" </a:t>
          </a:r>
        </a:p>
      </xdr:txBody>
    </xdr:sp>
    <xdr:clientData/>
  </xdr:twoCellAnchor>
  <xdr:twoCellAnchor>
    <xdr:from>
      <xdr:col>11</xdr:col>
      <xdr:colOff>398585</xdr:colOff>
      <xdr:row>1</xdr:row>
      <xdr:rowOff>105508</xdr:rowOff>
    </xdr:from>
    <xdr:to>
      <xdr:col>11</xdr:col>
      <xdr:colOff>1148862</xdr:colOff>
      <xdr:row>1</xdr:row>
      <xdr:rowOff>874204</xdr:rowOff>
    </xdr:to>
    <xdr:grpSp>
      <xdr:nvGrpSpPr>
        <xdr:cNvPr id="9" name="Group 8">
          <a:hlinkClick xmlns:r="http://schemas.openxmlformats.org/officeDocument/2006/relationships" r:id="rId2"/>
          <a:extLst>
            <a:ext uri="{FF2B5EF4-FFF2-40B4-BE49-F238E27FC236}">
              <a16:creationId xmlns:a16="http://schemas.microsoft.com/office/drawing/2014/main" id="{E5C73B6B-DECC-4232-80F1-754230B7BF3C}"/>
            </a:ext>
          </a:extLst>
        </xdr:cNvPr>
        <xdr:cNvGrpSpPr/>
      </xdr:nvGrpSpPr>
      <xdr:grpSpPr>
        <a:xfrm>
          <a:off x="17558017" y="293122"/>
          <a:ext cx="750277" cy="768696"/>
          <a:chOff x="17877692" y="281353"/>
          <a:chExt cx="750277" cy="768696"/>
        </a:xfrm>
      </xdr:grpSpPr>
      <xdr:pic>
        <xdr:nvPicPr>
          <xdr:cNvPr id="10" name="Graphic 9" descr="Home outline">
            <a:extLst>
              <a:ext uri="{FF2B5EF4-FFF2-40B4-BE49-F238E27FC236}">
                <a16:creationId xmlns:a16="http://schemas.microsoft.com/office/drawing/2014/main" id="{86B95407-4883-8407-C20D-23A00BB3933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7971483" y="281353"/>
            <a:ext cx="504093" cy="504093"/>
          </a:xfrm>
          <a:prstGeom prst="rect">
            <a:avLst/>
          </a:prstGeom>
        </xdr:spPr>
      </xdr:pic>
      <xdr:sp macro="" textlink="">
        <xdr:nvSpPr>
          <xdr:cNvPr id="11" name="TextBox 10">
            <a:extLst>
              <a:ext uri="{FF2B5EF4-FFF2-40B4-BE49-F238E27FC236}">
                <a16:creationId xmlns:a16="http://schemas.microsoft.com/office/drawing/2014/main" id="{14C7ABE8-BA05-16E2-B2A0-0FE9F0125580}"/>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Índice</a:t>
            </a:r>
          </a:p>
        </xdr:txBody>
      </xdr:sp>
    </xdr:grpSp>
    <xdr:clientData/>
  </xdr:twoCellAnchor>
  <xdr:twoCellAnchor>
    <xdr:from>
      <xdr:col>7</xdr:col>
      <xdr:colOff>90264</xdr:colOff>
      <xdr:row>137</xdr:row>
      <xdr:rowOff>286042</xdr:rowOff>
    </xdr:from>
    <xdr:to>
      <xdr:col>13</xdr:col>
      <xdr:colOff>406790</xdr:colOff>
      <xdr:row>147</xdr:row>
      <xdr:rowOff>187569</xdr:rowOff>
    </xdr:to>
    <xdr:graphicFrame macro="">
      <xdr:nvGraphicFramePr>
        <xdr:cNvPr id="12" name="Chart 11">
          <a:extLst>
            <a:ext uri="{FF2B5EF4-FFF2-40B4-BE49-F238E27FC236}">
              <a16:creationId xmlns:a16="http://schemas.microsoft.com/office/drawing/2014/main" id="{B2B63A0F-F200-4949-A38C-D6E9A8F10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1957753</xdr:colOff>
      <xdr:row>182</xdr:row>
      <xdr:rowOff>164122</xdr:rowOff>
    </xdr:from>
    <xdr:to>
      <xdr:col>8</xdr:col>
      <xdr:colOff>357407</xdr:colOff>
      <xdr:row>188</xdr:row>
      <xdr:rowOff>37623</xdr:rowOff>
    </xdr:to>
    <xdr:grpSp>
      <xdr:nvGrpSpPr>
        <xdr:cNvPr id="13" name="Group 12">
          <a:extLst>
            <a:ext uri="{FF2B5EF4-FFF2-40B4-BE49-F238E27FC236}">
              <a16:creationId xmlns:a16="http://schemas.microsoft.com/office/drawing/2014/main" id="{28ECBBAA-D478-4368-982F-97EF24B6F558}"/>
            </a:ext>
          </a:extLst>
        </xdr:cNvPr>
        <xdr:cNvGrpSpPr/>
      </xdr:nvGrpSpPr>
      <xdr:grpSpPr>
        <a:xfrm>
          <a:off x="11756958" y="75642531"/>
          <a:ext cx="1156131" cy="999183"/>
          <a:chOff x="7491046" y="107078585"/>
          <a:chExt cx="1224916" cy="998916"/>
        </a:xfrm>
      </xdr:grpSpPr>
      <xdr:pic>
        <xdr:nvPicPr>
          <xdr:cNvPr id="14" name="Graphic 13" descr="Caret Up outline">
            <a:extLst>
              <a:ext uri="{FF2B5EF4-FFF2-40B4-BE49-F238E27FC236}">
                <a16:creationId xmlns:a16="http://schemas.microsoft.com/office/drawing/2014/main" id="{A8CD7255-7730-407F-2849-D339C1CC7BB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7491046" y="107078585"/>
            <a:ext cx="914400" cy="914400"/>
          </a:xfrm>
          <a:prstGeom prst="rect">
            <a:avLst/>
          </a:prstGeom>
        </xdr:spPr>
      </xdr:pic>
      <xdr:sp macro="" textlink="">
        <xdr:nvSpPr>
          <xdr:cNvPr id="15" name="TextBox 14">
            <a:hlinkClick xmlns:r="http://schemas.openxmlformats.org/officeDocument/2006/relationships" r:id="rId8"/>
            <a:extLst>
              <a:ext uri="{FF2B5EF4-FFF2-40B4-BE49-F238E27FC236}">
                <a16:creationId xmlns:a16="http://schemas.microsoft.com/office/drawing/2014/main" id="{C8E4C8AE-B91E-B946-2381-BDC0F3C4C6B1}"/>
              </a:ext>
            </a:extLst>
          </xdr:cNvPr>
          <xdr:cNvSpPr txBox="1"/>
        </xdr:nvSpPr>
        <xdr:spPr>
          <a:xfrm>
            <a:off x="7597726" y="107703425"/>
            <a:ext cx="1118236" cy="374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GB" sz="1800">
                <a:solidFill>
                  <a:sysClr val="windowText" lastClr="000000"/>
                </a:solidFill>
                <a:latin typeface="Aptos" panose="020B0004020202020204" pitchFamily="34" charset="0"/>
              </a:rPr>
              <a:t>Início</a:t>
            </a:r>
          </a:p>
        </xdr:txBody>
      </xdr:sp>
    </xdr:grpSp>
    <xdr:clientData/>
  </xdr:twoCellAnchor>
  <xdr:twoCellAnchor>
    <xdr:from>
      <xdr:col>8</xdr:col>
      <xdr:colOff>351692</xdr:colOff>
      <xdr:row>2</xdr:row>
      <xdr:rowOff>164123</xdr:rowOff>
    </xdr:from>
    <xdr:to>
      <xdr:col>9</xdr:col>
      <xdr:colOff>761998</xdr:colOff>
      <xdr:row>4</xdr:row>
      <xdr:rowOff>86933</xdr:rowOff>
    </xdr:to>
    <xdr:sp macro="" textlink="">
      <xdr:nvSpPr>
        <xdr:cNvPr id="16" name="Flowchart: Connector 15">
          <a:extLst>
            <a:ext uri="{FF2B5EF4-FFF2-40B4-BE49-F238E27FC236}">
              <a16:creationId xmlns:a16="http://schemas.microsoft.com/office/drawing/2014/main" id="{056BB1CC-CDE0-4F4D-89F7-34EBE5FD1FED}"/>
            </a:ext>
          </a:extLst>
        </xdr:cNvPr>
        <xdr:cNvSpPr/>
      </xdr:nvSpPr>
      <xdr:spPr>
        <a:xfrm>
          <a:off x="13252352" y="1238543"/>
          <a:ext cx="1050386" cy="296190"/>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8</xdr:col>
      <xdr:colOff>293076</xdr:colOff>
      <xdr:row>18</xdr:row>
      <xdr:rowOff>23446</xdr:rowOff>
    </xdr:from>
    <xdr:to>
      <xdr:col>9</xdr:col>
      <xdr:colOff>761999</xdr:colOff>
      <xdr:row>19</xdr:row>
      <xdr:rowOff>35169</xdr:rowOff>
    </xdr:to>
    <xdr:sp macro="" textlink="">
      <xdr:nvSpPr>
        <xdr:cNvPr id="17" name="Flowchart: Connector 16">
          <a:extLst>
            <a:ext uri="{FF2B5EF4-FFF2-40B4-BE49-F238E27FC236}">
              <a16:creationId xmlns:a16="http://schemas.microsoft.com/office/drawing/2014/main" id="{47C72355-CB3F-4C84-90CB-00C00B3D2E76}"/>
            </a:ext>
          </a:extLst>
        </xdr:cNvPr>
        <xdr:cNvSpPr/>
      </xdr:nvSpPr>
      <xdr:spPr>
        <a:xfrm>
          <a:off x="13193736" y="7399606"/>
          <a:ext cx="1109003" cy="316523"/>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2</xdr:col>
      <xdr:colOff>697859</xdr:colOff>
      <xdr:row>181</xdr:row>
      <xdr:rowOff>137160</xdr:rowOff>
    </xdr:from>
    <xdr:to>
      <xdr:col>4</xdr:col>
      <xdr:colOff>1219535</xdr:colOff>
      <xdr:row>189</xdr:row>
      <xdr:rowOff>111035</xdr:rowOff>
    </xdr:to>
    <xdr:sp macro="" textlink="">
      <xdr:nvSpPr>
        <xdr:cNvPr id="18" name="TextBox 17">
          <a:hlinkClick xmlns:r="http://schemas.openxmlformats.org/officeDocument/2006/relationships" r:id="rId9"/>
          <a:extLst>
            <a:ext uri="{FF2B5EF4-FFF2-40B4-BE49-F238E27FC236}">
              <a16:creationId xmlns:a16="http://schemas.microsoft.com/office/drawing/2014/main" id="{15EFB0AA-BEFC-4C10-9662-AE09C491E2AD}"/>
            </a:ext>
          </a:extLst>
        </xdr:cNvPr>
        <xdr:cNvSpPr txBox="1"/>
      </xdr:nvSpPr>
      <xdr:spPr>
        <a:xfrm>
          <a:off x="1132199" y="84482940"/>
          <a:ext cx="4933656" cy="1436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0</xdr:col>
      <xdr:colOff>167640</xdr:colOff>
      <xdr:row>182</xdr:row>
      <xdr:rowOff>108355</xdr:rowOff>
    </xdr:from>
    <xdr:to>
      <xdr:col>2</xdr:col>
      <xdr:colOff>640080</xdr:colOff>
      <xdr:row>187</xdr:row>
      <xdr:rowOff>108354</xdr:rowOff>
    </xdr:to>
    <xdr:pic>
      <xdr:nvPicPr>
        <xdr:cNvPr id="19" name="Graphic 18" descr="CheckList outline">
          <a:hlinkClick xmlns:r="http://schemas.openxmlformats.org/officeDocument/2006/relationships" r:id="rId9"/>
          <a:extLst>
            <a:ext uri="{FF2B5EF4-FFF2-40B4-BE49-F238E27FC236}">
              <a16:creationId xmlns:a16="http://schemas.microsoft.com/office/drawing/2014/main" id="{9934B2E6-AA2C-4BAC-822E-54C9C8D38A6E}"/>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67640" y="84637015"/>
          <a:ext cx="906780" cy="914401"/>
        </a:xfrm>
        <a:prstGeom prst="rect">
          <a:avLst/>
        </a:prstGeom>
      </xdr:spPr>
    </xdr:pic>
    <xdr:clientData/>
  </xdr:twoCellAnchor>
  <xdr:twoCellAnchor editAs="oneCell">
    <xdr:from>
      <xdr:col>4</xdr:col>
      <xdr:colOff>2438401</xdr:colOff>
      <xdr:row>1</xdr:row>
      <xdr:rowOff>175846</xdr:rowOff>
    </xdr:from>
    <xdr:to>
      <xdr:col>5</xdr:col>
      <xdr:colOff>433754</xdr:colOff>
      <xdr:row>1</xdr:row>
      <xdr:rowOff>808891</xdr:rowOff>
    </xdr:to>
    <xdr:pic>
      <xdr:nvPicPr>
        <xdr:cNvPr id="21" name="Graphic 20" descr="Car outline">
          <a:extLst>
            <a:ext uri="{FF2B5EF4-FFF2-40B4-BE49-F238E27FC236}">
              <a16:creationId xmlns:a16="http://schemas.microsoft.com/office/drawing/2014/main" id="{8EF2F72B-7A7F-33FB-47F3-89F3C503AE9F}"/>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7291755" y="363415"/>
          <a:ext cx="633045" cy="633045"/>
        </a:xfrm>
        <a:prstGeom prst="rect">
          <a:avLst/>
        </a:prstGeom>
      </xdr:spPr>
    </xdr:pic>
    <xdr:clientData/>
  </xdr:twoCellAnchor>
  <xdr:twoCellAnchor>
    <xdr:from>
      <xdr:col>9</xdr:col>
      <xdr:colOff>1465382</xdr:colOff>
      <xdr:row>1</xdr:row>
      <xdr:rowOff>0</xdr:rowOff>
    </xdr:from>
    <xdr:to>
      <xdr:col>10</xdr:col>
      <xdr:colOff>687751</xdr:colOff>
      <xdr:row>3</xdr:row>
      <xdr:rowOff>110881</xdr:rowOff>
    </xdr:to>
    <xdr:grpSp>
      <xdr:nvGrpSpPr>
        <xdr:cNvPr id="4" name="Group 3">
          <a:hlinkClick xmlns:r="http://schemas.openxmlformats.org/officeDocument/2006/relationships" r:id="rId14"/>
          <a:extLst>
            <a:ext uri="{FF2B5EF4-FFF2-40B4-BE49-F238E27FC236}">
              <a16:creationId xmlns:a16="http://schemas.microsoft.com/office/drawing/2014/main" id="{9B6716B7-E5E7-4BBD-AAED-8AD1E9AD2583}"/>
            </a:ext>
          </a:extLst>
        </xdr:cNvPr>
        <xdr:cNvGrpSpPr/>
      </xdr:nvGrpSpPr>
      <xdr:grpSpPr>
        <a:xfrm>
          <a:off x="14641632" y="187614"/>
          <a:ext cx="1719074" cy="1178835"/>
          <a:chOff x="17335500" y="165100"/>
          <a:chExt cx="1790700" cy="1187450"/>
        </a:xfrm>
      </xdr:grpSpPr>
      <xdr:pic>
        <xdr:nvPicPr>
          <xdr:cNvPr id="20" name="Graphic 19" descr="Badge Question Mark outline">
            <a:extLst>
              <a:ext uri="{FF2B5EF4-FFF2-40B4-BE49-F238E27FC236}">
                <a16:creationId xmlns:a16="http://schemas.microsoft.com/office/drawing/2014/main" id="{D1447DB7-2B3E-DD70-DF57-860A55BCD327}"/>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17802226" y="165100"/>
            <a:ext cx="638175" cy="638175"/>
          </a:xfrm>
          <a:prstGeom prst="rect">
            <a:avLst/>
          </a:prstGeom>
        </xdr:spPr>
      </xdr:pic>
      <xdr:sp macro="" textlink="">
        <xdr:nvSpPr>
          <xdr:cNvPr id="22" name="TextBox 21">
            <a:hlinkClick xmlns:r="http://schemas.openxmlformats.org/officeDocument/2006/relationships" r:id="rId14"/>
            <a:extLst>
              <a:ext uri="{FF2B5EF4-FFF2-40B4-BE49-F238E27FC236}">
                <a16:creationId xmlns:a16="http://schemas.microsoft.com/office/drawing/2014/main" id="{F99D7339-2297-C6CD-092D-9A76730714E3}"/>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10</xdr:col>
      <xdr:colOff>761022</xdr:colOff>
      <xdr:row>1</xdr:row>
      <xdr:rowOff>70338</xdr:rowOff>
    </xdr:from>
    <xdr:to>
      <xdr:col>11</xdr:col>
      <xdr:colOff>81083</xdr:colOff>
      <xdr:row>1</xdr:row>
      <xdr:rowOff>879231</xdr:rowOff>
    </xdr:to>
    <xdr:grpSp>
      <xdr:nvGrpSpPr>
        <xdr:cNvPr id="23" name="Group 22">
          <a:extLst>
            <a:ext uri="{FF2B5EF4-FFF2-40B4-BE49-F238E27FC236}">
              <a16:creationId xmlns:a16="http://schemas.microsoft.com/office/drawing/2014/main" id="{AA857015-E673-43D2-84E6-320CA6175FC9}"/>
            </a:ext>
          </a:extLst>
        </xdr:cNvPr>
        <xdr:cNvGrpSpPr/>
      </xdr:nvGrpSpPr>
      <xdr:grpSpPr>
        <a:xfrm>
          <a:off x="16433977" y="257952"/>
          <a:ext cx="806538" cy="808893"/>
          <a:chOff x="17783906" y="410307"/>
          <a:chExt cx="855784" cy="808893"/>
        </a:xfrm>
      </xdr:grpSpPr>
      <xdr:sp macro="" textlink="">
        <xdr:nvSpPr>
          <xdr:cNvPr id="24" name="TextBox 23">
            <a:hlinkClick xmlns:r="http://schemas.openxmlformats.org/officeDocument/2006/relationships" r:id="rId17"/>
            <a:extLst>
              <a:ext uri="{FF2B5EF4-FFF2-40B4-BE49-F238E27FC236}">
                <a16:creationId xmlns:a16="http://schemas.microsoft.com/office/drawing/2014/main" id="{11D53C60-FB24-66F6-7D6E-600B5FBB4E56}"/>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25" name="Graphic 24" descr="List outline">
            <a:extLst>
              <a:ext uri="{FF2B5EF4-FFF2-40B4-BE49-F238E27FC236}">
                <a16:creationId xmlns:a16="http://schemas.microsoft.com/office/drawing/2014/main" id="{D6C8D1D9-760E-0F2F-0CE0-1CF102FFF3ED}"/>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7901138" y="410307"/>
            <a:ext cx="539260" cy="531557"/>
          </a:xfrm>
          <a:prstGeom prst="rect">
            <a:avLst/>
          </a:prstGeom>
        </xdr:spPr>
      </xdr:pic>
    </xdr:grpSp>
    <xdr:clientData/>
  </xdr:twoCellAnchor>
  <xdr:twoCellAnchor>
    <xdr:from>
      <xdr:col>2</xdr:col>
      <xdr:colOff>431636</xdr:colOff>
      <xdr:row>147</xdr:row>
      <xdr:rowOff>128955</xdr:rowOff>
    </xdr:from>
    <xdr:to>
      <xdr:col>2</xdr:col>
      <xdr:colOff>442522</xdr:colOff>
      <xdr:row>149</xdr:row>
      <xdr:rowOff>65558</xdr:rowOff>
    </xdr:to>
    <xdr:cxnSp macro="">
      <xdr:nvCxnSpPr>
        <xdr:cNvPr id="26" name="Straight Arrow Connector 25">
          <a:extLst>
            <a:ext uri="{FF2B5EF4-FFF2-40B4-BE49-F238E27FC236}">
              <a16:creationId xmlns:a16="http://schemas.microsoft.com/office/drawing/2014/main" id="{F4BD62BC-B2EB-40CC-9321-CAD9571F3B6E}"/>
            </a:ext>
          </a:extLst>
        </xdr:cNvPr>
        <xdr:cNvCxnSpPr/>
      </xdr:nvCxnSpPr>
      <xdr:spPr>
        <a:xfrm>
          <a:off x="865390" y="60420740"/>
          <a:ext cx="10886" cy="792387"/>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948734</xdr:colOff>
      <xdr:row>149</xdr:row>
      <xdr:rowOff>82069</xdr:rowOff>
    </xdr:from>
    <xdr:to>
      <xdr:col>4</xdr:col>
      <xdr:colOff>1470410</xdr:colOff>
      <xdr:row>152</xdr:row>
      <xdr:rowOff>264615</xdr:rowOff>
    </xdr:to>
    <xdr:sp macro="" textlink="">
      <xdr:nvSpPr>
        <xdr:cNvPr id="27" name="TextBox 26">
          <a:hlinkClick xmlns:r="http://schemas.openxmlformats.org/officeDocument/2006/relationships" r:id="rId20"/>
          <a:extLst>
            <a:ext uri="{FF2B5EF4-FFF2-40B4-BE49-F238E27FC236}">
              <a16:creationId xmlns:a16="http://schemas.microsoft.com/office/drawing/2014/main" id="{D5447768-15AB-4F90-9072-5459A42E7B3F}"/>
            </a:ext>
          </a:extLst>
        </xdr:cNvPr>
        <xdr:cNvSpPr txBox="1"/>
      </xdr:nvSpPr>
      <xdr:spPr>
        <a:xfrm>
          <a:off x="1382488" y="61229638"/>
          <a:ext cx="4941276" cy="17299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1</xdr:col>
      <xdr:colOff>164124</xdr:colOff>
      <xdr:row>149</xdr:row>
      <xdr:rowOff>236144</xdr:rowOff>
    </xdr:from>
    <xdr:to>
      <xdr:col>2</xdr:col>
      <xdr:colOff>890955</xdr:colOff>
      <xdr:row>151</xdr:row>
      <xdr:rowOff>127803</xdr:rowOff>
    </xdr:to>
    <xdr:pic>
      <xdr:nvPicPr>
        <xdr:cNvPr id="28" name="Graphic 27" descr="CheckList outline">
          <a:hlinkClick xmlns:r="http://schemas.openxmlformats.org/officeDocument/2006/relationships" r:id="rId20"/>
          <a:extLst>
            <a:ext uri="{FF2B5EF4-FFF2-40B4-BE49-F238E27FC236}">
              <a16:creationId xmlns:a16="http://schemas.microsoft.com/office/drawing/2014/main" id="{DEC2B255-16E1-4C4F-A679-A14615D20155}"/>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410309" y="61383713"/>
          <a:ext cx="914400" cy="9232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1125292</xdr:colOff>
      <xdr:row>1</xdr:row>
      <xdr:rowOff>1</xdr:rowOff>
    </xdr:from>
    <xdr:to>
      <xdr:col>8</xdr:col>
      <xdr:colOff>249381</xdr:colOff>
      <xdr:row>2</xdr:row>
      <xdr:rowOff>39730</xdr:rowOff>
    </xdr:to>
    <xdr:grpSp>
      <xdr:nvGrpSpPr>
        <xdr:cNvPr id="2" name="Group 1">
          <a:hlinkClick xmlns:r="http://schemas.openxmlformats.org/officeDocument/2006/relationships" r:id="rId1"/>
          <a:extLst>
            <a:ext uri="{FF2B5EF4-FFF2-40B4-BE49-F238E27FC236}">
              <a16:creationId xmlns:a16="http://schemas.microsoft.com/office/drawing/2014/main" id="{389228F2-8A6D-4A27-A1B6-11909210027A}"/>
            </a:ext>
          </a:extLst>
        </xdr:cNvPr>
        <xdr:cNvGrpSpPr/>
      </xdr:nvGrpSpPr>
      <xdr:grpSpPr>
        <a:xfrm>
          <a:off x="11810610" y="381001"/>
          <a:ext cx="838589" cy="922956"/>
          <a:chOff x="17877692" y="281353"/>
          <a:chExt cx="750277" cy="768696"/>
        </a:xfrm>
      </xdr:grpSpPr>
      <xdr:pic>
        <xdr:nvPicPr>
          <xdr:cNvPr id="3" name="Graphic 2" descr="Home outline">
            <a:extLst>
              <a:ext uri="{FF2B5EF4-FFF2-40B4-BE49-F238E27FC236}">
                <a16:creationId xmlns:a16="http://schemas.microsoft.com/office/drawing/2014/main" id="{3EDCF92C-7C91-D568-E766-F16E915BD559}"/>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971483" y="281353"/>
            <a:ext cx="504093" cy="504093"/>
          </a:xfrm>
          <a:prstGeom prst="rect">
            <a:avLst/>
          </a:prstGeom>
        </xdr:spPr>
      </xdr:pic>
      <xdr:sp macro="" textlink="">
        <xdr:nvSpPr>
          <xdr:cNvPr id="4" name="TextBox 3">
            <a:extLst>
              <a:ext uri="{FF2B5EF4-FFF2-40B4-BE49-F238E27FC236}">
                <a16:creationId xmlns:a16="http://schemas.microsoft.com/office/drawing/2014/main" id="{A64A659A-6261-1BC4-4CF2-7AEAF6F87A8C}"/>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  Índice  </a:t>
            </a:r>
          </a:p>
        </xdr:txBody>
      </xdr:sp>
    </xdr:grpSp>
    <xdr:clientData/>
  </xdr:twoCellAnchor>
  <xdr:twoCellAnchor>
    <xdr:from>
      <xdr:col>1</xdr:col>
      <xdr:colOff>166253</xdr:colOff>
      <xdr:row>18</xdr:row>
      <xdr:rowOff>512620</xdr:rowOff>
    </xdr:from>
    <xdr:to>
      <xdr:col>7</xdr:col>
      <xdr:colOff>914400</xdr:colOff>
      <xdr:row>19</xdr:row>
      <xdr:rowOff>2424546</xdr:rowOff>
    </xdr:to>
    <xdr:graphicFrame macro="">
      <xdr:nvGraphicFramePr>
        <xdr:cNvPr id="8" name="Chart 7">
          <a:extLst>
            <a:ext uri="{FF2B5EF4-FFF2-40B4-BE49-F238E27FC236}">
              <a16:creationId xmlns:a16="http://schemas.microsoft.com/office/drawing/2014/main" id="{0D555E82-4565-4331-95DA-000142265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61813</xdr:colOff>
      <xdr:row>1</xdr:row>
      <xdr:rowOff>83125</xdr:rowOff>
    </xdr:from>
    <xdr:to>
      <xdr:col>6</xdr:col>
      <xdr:colOff>210110</xdr:colOff>
      <xdr:row>1</xdr:row>
      <xdr:rowOff>859441</xdr:rowOff>
    </xdr:to>
    <xdr:grpSp>
      <xdr:nvGrpSpPr>
        <xdr:cNvPr id="5" name="Group 4">
          <a:hlinkClick xmlns:r="http://schemas.openxmlformats.org/officeDocument/2006/relationships" r:id="rId1"/>
          <a:extLst>
            <a:ext uri="{FF2B5EF4-FFF2-40B4-BE49-F238E27FC236}">
              <a16:creationId xmlns:a16="http://schemas.microsoft.com/office/drawing/2014/main" id="{55A08E9D-E678-4867-AB06-7275EB0DFED6}"/>
            </a:ext>
          </a:extLst>
        </xdr:cNvPr>
        <xdr:cNvGrpSpPr/>
      </xdr:nvGrpSpPr>
      <xdr:grpSpPr>
        <a:xfrm>
          <a:off x="6509505" y="273625"/>
          <a:ext cx="734451" cy="776316"/>
          <a:chOff x="17842877" y="281353"/>
          <a:chExt cx="750277" cy="768696"/>
        </a:xfrm>
      </xdr:grpSpPr>
      <xdr:pic>
        <xdr:nvPicPr>
          <xdr:cNvPr id="6" name="Graphic 5" descr="Home outline">
            <a:extLst>
              <a:ext uri="{FF2B5EF4-FFF2-40B4-BE49-F238E27FC236}">
                <a16:creationId xmlns:a16="http://schemas.microsoft.com/office/drawing/2014/main" id="{C624A4A9-9392-5B7A-67F6-12644E33171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971483" y="281353"/>
            <a:ext cx="504093" cy="504093"/>
          </a:xfrm>
          <a:prstGeom prst="rect">
            <a:avLst/>
          </a:prstGeom>
        </xdr:spPr>
      </xdr:pic>
      <xdr:sp macro="" textlink="">
        <xdr:nvSpPr>
          <xdr:cNvPr id="7" name="TextBox 6">
            <a:extLst>
              <a:ext uri="{FF2B5EF4-FFF2-40B4-BE49-F238E27FC236}">
                <a16:creationId xmlns:a16="http://schemas.microsoft.com/office/drawing/2014/main" id="{93A06B6A-4E16-1109-5709-1BB8C56E8713}"/>
              </a:ext>
            </a:extLst>
          </xdr:cNvPr>
          <xdr:cNvSpPr txBox="1"/>
        </xdr:nvSpPr>
        <xdr:spPr>
          <a:xfrm>
            <a:off x="17842877"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  Índice  </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2349500</xdr:colOff>
      <xdr:row>1</xdr:row>
      <xdr:rowOff>88900</xdr:rowOff>
    </xdr:from>
    <xdr:to>
      <xdr:col>1</xdr:col>
      <xdr:colOff>3099777</xdr:colOff>
      <xdr:row>1</xdr:row>
      <xdr:rowOff>857596</xdr:rowOff>
    </xdr:to>
    <xdr:grpSp>
      <xdr:nvGrpSpPr>
        <xdr:cNvPr id="5" name="Group 4">
          <a:hlinkClick xmlns:r="http://schemas.openxmlformats.org/officeDocument/2006/relationships" r:id="rId1"/>
          <a:extLst>
            <a:ext uri="{FF2B5EF4-FFF2-40B4-BE49-F238E27FC236}">
              <a16:creationId xmlns:a16="http://schemas.microsoft.com/office/drawing/2014/main" id="{1930B75E-E996-4F4E-822F-1F38EB3EF3F1}"/>
            </a:ext>
          </a:extLst>
        </xdr:cNvPr>
        <xdr:cNvGrpSpPr/>
      </xdr:nvGrpSpPr>
      <xdr:grpSpPr>
        <a:xfrm>
          <a:off x="2594429" y="279400"/>
          <a:ext cx="750277" cy="768696"/>
          <a:chOff x="17877692" y="281353"/>
          <a:chExt cx="750277" cy="768696"/>
        </a:xfrm>
      </xdr:grpSpPr>
      <xdr:pic>
        <xdr:nvPicPr>
          <xdr:cNvPr id="6" name="Graphic 5" descr="Home outline">
            <a:extLst>
              <a:ext uri="{FF2B5EF4-FFF2-40B4-BE49-F238E27FC236}">
                <a16:creationId xmlns:a16="http://schemas.microsoft.com/office/drawing/2014/main" id="{354F7676-4B46-0C24-3E01-66D957F8E42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971483" y="281353"/>
            <a:ext cx="504093" cy="504093"/>
          </a:xfrm>
          <a:prstGeom prst="rect">
            <a:avLst/>
          </a:prstGeom>
        </xdr:spPr>
      </xdr:pic>
      <xdr:sp macro="" textlink="">
        <xdr:nvSpPr>
          <xdr:cNvPr id="7" name="TextBox 6">
            <a:extLst>
              <a:ext uri="{FF2B5EF4-FFF2-40B4-BE49-F238E27FC236}">
                <a16:creationId xmlns:a16="http://schemas.microsoft.com/office/drawing/2014/main" id="{B48A0D29-AE10-5C1C-4C66-5CE43D462620}"/>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Índice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990600</xdr:colOff>
      <xdr:row>1</xdr:row>
      <xdr:rowOff>30480</xdr:rowOff>
    </xdr:from>
    <xdr:to>
      <xdr:col>2</xdr:col>
      <xdr:colOff>1740877</xdr:colOff>
      <xdr:row>1</xdr:row>
      <xdr:rowOff>839372</xdr:rowOff>
    </xdr:to>
    <xdr:grpSp>
      <xdr:nvGrpSpPr>
        <xdr:cNvPr id="5" name="Group 4">
          <a:extLst>
            <a:ext uri="{FF2B5EF4-FFF2-40B4-BE49-F238E27FC236}">
              <a16:creationId xmlns:a16="http://schemas.microsoft.com/office/drawing/2014/main" id="{2BD92493-9519-49F7-8F24-90D840916C3B}"/>
            </a:ext>
          </a:extLst>
        </xdr:cNvPr>
        <xdr:cNvGrpSpPr/>
      </xdr:nvGrpSpPr>
      <xdr:grpSpPr>
        <a:xfrm>
          <a:off x="3752850" y="220980"/>
          <a:ext cx="750277" cy="808892"/>
          <a:chOff x="18557628" y="410308"/>
          <a:chExt cx="750277" cy="808892"/>
        </a:xfrm>
      </xdr:grpSpPr>
      <xdr:pic>
        <xdr:nvPicPr>
          <xdr:cNvPr id="6" name="Graphic 5" descr="Home outline">
            <a:hlinkClick xmlns:r="http://schemas.openxmlformats.org/officeDocument/2006/relationships" r:id="rId1"/>
            <a:extLst>
              <a:ext uri="{FF2B5EF4-FFF2-40B4-BE49-F238E27FC236}">
                <a16:creationId xmlns:a16="http://schemas.microsoft.com/office/drawing/2014/main" id="{84A9DB2B-4416-8A18-B98C-5A6DF647171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604519" y="410308"/>
            <a:ext cx="504093" cy="507072"/>
          </a:xfrm>
          <a:prstGeom prst="rect">
            <a:avLst/>
          </a:prstGeom>
        </xdr:spPr>
      </xdr:pic>
      <xdr:sp macro="" textlink="">
        <xdr:nvSpPr>
          <xdr:cNvPr id="7" name="TextBox 6">
            <a:hlinkClick xmlns:r="http://schemas.openxmlformats.org/officeDocument/2006/relationships" r:id="rId1"/>
            <a:extLst>
              <a:ext uri="{FF2B5EF4-FFF2-40B4-BE49-F238E27FC236}">
                <a16:creationId xmlns:a16="http://schemas.microsoft.com/office/drawing/2014/main" id="{569251B3-13EA-B562-D9E0-DE93DBBE624B}"/>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1708816</xdr:colOff>
      <xdr:row>1</xdr:row>
      <xdr:rowOff>20684</xdr:rowOff>
    </xdr:from>
    <xdr:to>
      <xdr:col>6</xdr:col>
      <xdr:colOff>315816</xdr:colOff>
      <xdr:row>1</xdr:row>
      <xdr:rowOff>869988</xdr:rowOff>
    </xdr:to>
    <xdr:grpSp>
      <xdr:nvGrpSpPr>
        <xdr:cNvPr id="2" name="Group 1">
          <a:hlinkClick xmlns:r="http://schemas.openxmlformats.org/officeDocument/2006/relationships" r:id="rId1"/>
          <a:extLst>
            <a:ext uri="{FF2B5EF4-FFF2-40B4-BE49-F238E27FC236}">
              <a16:creationId xmlns:a16="http://schemas.microsoft.com/office/drawing/2014/main" id="{E0D5A70F-CD3C-424E-8D5F-3C26971AAED1}"/>
            </a:ext>
          </a:extLst>
        </xdr:cNvPr>
        <xdr:cNvGrpSpPr/>
      </xdr:nvGrpSpPr>
      <xdr:grpSpPr>
        <a:xfrm>
          <a:off x="4266959" y="224791"/>
          <a:ext cx="702500" cy="849304"/>
          <a:chOff x="20128523" y="351693"/>
          <a:chExt cx="750277" cy="850757"/>
        </a:xfrm>
      </xdr:grpSpPr>
      <xdr:pic>
        <xdr:nvPicPr>
          <xdr:cNvPr id="3" name="Graphic 2" descr="Home outline">
            <a:extLst>
              <a:ext uri="{FF2B5EF4-FFF2-40B4-BE49-F238E27FC236}">
                <a16:creationId xmlns:a16="http://schemas.microsoft.com/office/drawing/2014/main" id="{6B50FC1B-1F5B-C210-91A1-8F235920AB7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175414" y="351693"/>
            <a:ext cx="504093" cy="504093"/>
          </a:xfrm>
          <a:prstGeom prst="rect">
            <a:avLst/>
          </a:prstGeom>
        </xdr:spPr>
      </xdr:pic>
      <xdr:sp macro="" textlink="">
        <xdr:nvSpPr>
          <xdr:cNvPr id="4" name="TextBox 3">
            <a:extLst>
              <a:ext uri="{FF2B5EF4-FFF2-40B4-BE49-F238E27FC236}">
                <a16:creationId xmlns:a16="http://schemas.microsoft.com/office/drawing/2014/main" id="{D54713ED-C2BD-48DD-0434-C5B3FBAB70BC}"/>
              </a:ext>
            </a:extLst>
          </xdr:cNvPr>
          <xdr:cNvSpPr txBox="1"/>
        </xdr:nvSpPr>
        <xdr:spPr>
          <a:xfrm>
            <a:off x="20128523" y="890954"/>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65072</xdr:colOff>
      <xdr:row>1</xdr:row>
      <xdr:rowOff>9798</xdr:rowOff>
    </xdr:from>
    <xdr:to>
      <xdr:col>4</xdr:col>
      <xdr:colOff>827445</xdr:colOff>
      <xdr:row>1</xdr:row>
      <xdr:rowOff>859102</xdr:rowOff>
    </xdr:to>
    <xdr:grpSp>
      <xdr:nvGrpSpPr>
        <xdr:cNvPr id="5" name="Group 4">
          <a:hlinkClick xmlns:r="http://schemas.openxmlformats.org/officeDocument/2006/relationships" r:id="rId1"/>
          <a:extLst>
            <a:ext uri="{FF2B5EF4-FFF2-40B4-BE49-F238E27FC236}">
              <a16:creationId xmlns:a16="http://schemas.microsoft.com/office/drawing/2014/main" id="{67B93BDC-33B4-4339-A720-B615C38B797F}"/>
            </a:ext>
          </a:extLst>
        </xdr:cNvPr>
        <xdr:cNvGrpSpPr/>
      </xdr:nvGrpSpPr>
      <xdr:grpSpPr>
        <a:xfrm>
          <a:off x="6637322" y="213905"/>
          <a:ext cx="762373" cy="849304"/>
          <a:chOff x="20128523" y="351693"/>
          <a:chExt cx="750277" cy="850757"/>
        </a:xfrm>
      </xdr:grpSpPr>
      <xdr:pic>
        <xdr:nvPicPr>
          <xdr:cNvPr id="6" name="Graphic 5" descr="Home outline">
            <a:extLst>
              <a:ext uri="{FF2B5EF4-FFF2-40B4-BE49-F238E27FC236}">
                <a16:creationId xmlns:a16="http://schemas.microsoft.com/office/drawing/2014/main" id="{DBA3D239-888D-89E3-CA65-EE3E5F8FF5F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175414" y="351693"/>
            <a:ext cx="504093" cy="504093"/>
          </a:xfrm>
          <a:prstGeom prst="rect">
            <a:avLst/>
          </a:prstGeom>
        </xdr:spPr>
      </xdr:pic>
      <xdr:sp macro="" textlink="">
        <xdr:nvSpPr>
          <xdr:cNvPr id="7" name="TextBox 6">
            <a:extLst>
              <a:ext uri="{FF2B5EF4-FFF2-40B4-BE49-F238E27FC236}">
                <a16:creationId xmlns:a16="http://schemas.microsoft.com/office/drawing/2014/main" id="{520E5EF9-FE4D-DB99-9F59-342E4AF03B82}"/>
              </a:ext>
            </a:extLst>
          </xdr:cNvPr>
          <xdr:cNvSpPr txBox="1"/>
        </xdr:nvSpPr>
        <xdr:spPr>
          <a:xfrm>
            <a:off x="20128523" y="890954"/>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87086</xdr:colOff>
      <xdr:row>1</xdr:row>
      <xdr:rowOff>126546</xdr:rowOff>
    </xdr:from>
    <xdr:to>
      <xdr:col>3</xdr:col>
      <xdr:colOff>69623</xdr:colOff>
      <xdr:row>5</xdr:row>
      <xdr:rowOff>55789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46FFAF1-3771-4A0A-9BB3-AE2F04FE3E90}"/>
            </a:ext>
          </a:extLst>
        </xdr:cNvPr>
        <xdr:cNvSpPr/>
      </xdr:nvSpPr>
      <xdr:spPr>
        <a:xfrm>
          <a:off x="685800" y="311603"/>
          <a:ext cx="1179966" cy="66947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chemeClr val="tx1"/>
              </a:solidFill>
              <a:effectLst/>
              <a:latin typeface="+mn-lt"/>
              <a:ea typeface="+mn-ea"/>
              <a:cs typeface="Poppins" panose="00000500000000000000" pitchFamily="2" charset="0"/>
            </a:rPr>
            <a:t>Índice de coneúdos</a:t>
          </a:r>
          <a:endParaRPr lang="pt-PT" sz="1200" b="1">
            <a:solidFill>
              <a:schemeClr val="tx1"/>
            </a:solidFill>
            <a:effectLst/>
            <a:latin typeface="+mn-lt"/>
            <a:cs typeface="Poppins" panose="00000500000000000000" pitchFamily="2" charset="0"/>
          </a:endParaRPr>
        </a:p>
      </xdr:txBody>
    </xdr:sp>
    <xdr:clientData/>
  </xdr:twoCellAnchor>
  <xdr:twoCellAnchor>
    <xdr:from>
      <xdr:col>3</xdr:col>
      <xdr:colOff>443347</xdr:colOff>
      <xdr:row>1</xdr:row>
      <xdr:rowOff>171450</xdr:rowOff>
    </xdr:from>
    <xdr:to>
      <xdr:col>19</xdr:col>
      <xdr:colOff>415637</xdr:colOff>
      <xdr:row>5</xdr:row>
      <xdr:rowOff>163285</xdr:rowOff>
    </xdr:to>
    <xdr:sp macro="" textlink="">
      <xdr:nvSpPr>
        <xdr:cNvPr id="6" name="Retângulo: Cantos Arredondados 5">
          <a:extLst>
            <a:ext uri="{FF2B5EF4-FFF2-40B4-BE49-F238E27FC236}">
              <a16:creationId xmlns:a16="http://schemas.microsoft.com/office/drawing/2014/main" id="{4BF2B0FA-B414-44BD-9F03-E197EB62EE0F}"/>
            </a:ext>
          </a:extLst>
        </xdr:cNvPr>
        <xdr:cNvSpPr/>
      </xdr:nvSpPr>
      <xdr:spPr>
        <a:xfrm>
          <a:off x="2230583" y="351559"/>
          <a:ext cx="14450290" cy="712271"/>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chemeClr val="tx1"/>
              </a:solidFill>
              <a:latin typeface="+mn-lt"/>
              <a:cs typeface="Poppins" panose="00000500000000000000" pitchFamily="2" charset="0"/>
            </a:rPr>
            <a:t>Dados gerais</a:t>
          </a:r>
        </a:p>
      </xdr:txBody>
    </xdr:sp>
    <xdr:clientData/>
  </xdr:twoCellAnchor>
  <xdr:twoCellAnchor>
    <xdr:from>
      <xdr:col>2</xdr:col>
      <xdr:colOff>206827</xdr:colOff>
      <xdr:row>5</xdr:row>
      <xdr:rowOff>119743</xdr:rowOff>
    </xdr:from>
    <xdr:to>
      <xdr:col>2</xdr:col>
      <xdr:colOff>511628</xdr:colOff>
      <xdr:row>7</xdr:row>
      <xdr:rowOff>65314</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7EA52F39-8C96-4D6A-9952-F8D929D131CC}"/>
            </a:ext>
          </a:extLst>
        </xdr:cNvPr>
        <xdr:cNvSpPr/>
      </xdr:nvSpPr>
      <xdr:spPr>
        <a:xfrm>
          <a:off x="1404256" y="1045029"/>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239486</xdr:colOff>
      <xdr:row>5</xdr:row>
      <xdr:rowOff>108857</xdr:rowOff>
    </xdr:from>
    <xdr:to>
      <xdr:col>1</xdr:col>
      <xdr:colOff>544285</xdr:colOff>
      <xdr:row>7</xdr:row>
      <xdr:rowOff>65315</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8ADD03E-9502-4A31-9838-6FEC36421550}"/>
            </a:ext>
          </a:extLst>
        </xdr:cNvPr>
        <xdr:cNvSpPr/>
      </xdr:nvSpPr>
      <xdr:spPr>
        <a:xfrm flipH="1">
          <a:off x="838200" y="1034143"/>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4360</xdr:colOff>
      <xdr:row>3</xdr:row>
      <xdr:rowOff>82060</xdr:rowOff>
    </xdr:from>
    <xdr:to>
      <xdr:col>25</xdr:col>
      <xdr:colOff>324143</xdr:colOff>
      <xdr:row>29</xdr:row>
      <xdr:rowOff>117230</xdr:rowOff>
    </xdr:to>
    <xdr:pic>
      <xdr:nvPicPr>
        <xdr:cNvPr id="2" name="Picture 1" descr="Person sitting on bus">
          <a:extLst>
            <a:ext uri="{FF2B5EF4-FFF2-40B4-BE49-F238E27FC236}">
              <a16:creationId xmlns:a16="http://schemas.microsoft.com/office/drawing/2014/main" id="{CFB4B4A5-77E6-416B-8BCC-D7551288B0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725" r="3892" b="21534"/>
        <a:stretch>
          <a:fillRect/>
        </a:stretch>
      </xdr:blipFill>
      <xdr:spPr>
        <a:xfrm>
          <a:off x="215375" y="1676398"/>
          <a:ext cx="14762614" cy="7057293"/>
        </a:xfrm>
        <a:prstGeom prst="rect">
          <a:avLst/>
        </a:prstGeom>
      </xdr:spPr>
    </xdr:pic>
    <xdr:clientData/>
  </xdr:twoCellAnchor>
  <xdr:twoCellAnchor editAs="oneCell">
    <xdr:from>
      <xdr:col>22</xdr:col>
      <xdr:colOff>354874</xdr:colOff>
      <xdr:row>7</xdr:row>
      <xdr:rowOff>0</xdr:rowOff>
    </xdr:from>
    <xdr:to>
      <xdr:col>22</xdr:col>
      <xdr:colOff>354874</xdr:colOff>
      <xdr:row>32</xdr:row>
      <xdr:rowOff>89263</xdr:rowOff>
    </xdr:to>
    <xdr:pic>
      <xdr:nvPicPr>
        <xdr:cNvPr id="4" name="Picture 3">
          <a:extLst>
            <a:ext uri="{FF2B5EF4-FFF2-40B4-BE49-F238E27FC236}">
              <a16:creationId xmlns:a16="http://schemas.microsoft.com/office/drawing/2014/main" id="{AEF96952-760D-4DD6-830F-7494EE39D2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30794" y="2583180"/>
          <a:ext cx="0" cy="6558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499533</xdr:colOff>
      <xdr:row>3</xdr:row>
      <xdr:rowOff>82061</xdr:rowOff>
    </xdr:from>
    <xdr:to>
      <xdr:col>13</xdr:col>
      <xdr:colOff>433754</xdr:colOff>
      <xdr:row>27</xdr:row>
      <xdr:rowOff>148167</xdr:rowOff>
    </xdr:to>
    <xdr:sp macro="" textlink="">
      <xdr:nvSpPr>
        <xdr:cNvPr id="8" name="Flowchart: Alternative Process 7">
          <a:extLst>
            <a:ext uri="{FF2B5EF4-FFF2-40B4-BE49-F238E27FC236}">
              <a16:creationId xmlns:a16="http://schemas.microsoft.com/office/drawing/2014/main" id="{7E5F47CC-79A9-44E1-A569-7764DDFCE126}"/>
            </a:ext>
          </a:extLst>
        </xdr:cNvPr>
        <xdr:cNvSpPr/>
      </xdr:nvSpPr>
      <xdr:spPr>
        <a:xfrm>
          <a:off x="499533" y="1723292"/>
          <a:ext cx="7706621" cy="6713090"/>
        </a:xfrm>
        <a:prstGeom prst="flowChartAlternateProcess">
          <a:avLst/>
        </a:prstGeom>
        <a:solidFill>
          <a:srgbClr val="A3D9FF">
            <a:alpha val="85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400">
            <a:solidFill>
              <a:srgbClr val="01635E"/>
            </a:solidFill>
            <a:latin typeface="Aptos" panose="020B0004020202020204" pitchFamily="34" charset="0"/>
          </a:endParaRPr>
        </a:p>
      </xdr:txBody>
    </xdr:sp>
    <xdr:clientData/>
  </xdr:twoCellAnchor>
  <xdr:twoCellAnchor>
    <xdr:from>
      <xdr:col>22</xdr:col>
      <xdr:colOff>125378</xdr:colOff>
      <xdr:row>44</xdr:row>
      <xdr:rowOff>0</xdr:rowOff>
    </xdr:from>
    <xdr:to>
      <xdr:col>23</xdr:col>
      <xdr:colOff>239917</xdr:colOff>
      <xdr:row>44</xdr:row>
      <xdr:rowOff>0</xdr:rowOff>
    </xdr:to>
    <xdr:pic>
      <xdr:nvPicPr>
        <xdr:cNvPr id="17" name="Graphic 16" descr="Cruise ship with solid fill">
          <a:extLst>
            <a:ext uri="{FF2B5EF4-FFF2-40B4-BE49-F238E27FC236}">
              <a16:creationId xmlns:a16="http://schemas.microsoft.com/office/drawing/2014/main" id="{453DB988-C8D3-4C68-B89F-24498052A08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3164045" y="11319933"/>
          <a:ext cx="707205" cy="0"/>
        </a:xfrm>
        <a:prstGeom prst="rect">
          <a:avLst/>
        </a:prstGeom>
      </xdr:spPr>
    </xdr:pic>
    <xdr:clientData/>
  </xdr:twoCellAnchor>
  <xdr:twoCellAnchor>
    <xdr:from>
      <xdr:col>1</xdr:col>
      <xdr:colOff>539916</xdr:colOff>
      <xdr:row>5</xdr:row>
      <xdr:rowOff>87273</xdr:rowOff>
    </xdr:from>
    <xdr:to>
      <xdr:col>12</xdr:col>
      <xdr:colOff>294381</xdr:colOff>
      <xdr:row>6</xdr:row>
      <xdr:rowOff>190373</xdr:rowOff>
    </xdr:to>
    <xdr:sp macro="" textlink="">
      <xdr:nvSpPr>
        <xdr:cNvPr id="19" name="Rectangle: Rounded Corners 18">
          <a:hlinkClick xmlns:r="http://schemas.openxmlformats.org/officeDocument/2006/relationships" r:id="rId5"/>
          <a:extLst>
            <a:ext uri="{FF2B5EF4-FFF2-40B4-BE49-F238E27FC236}">
              <a16:creationId xmlns:a16="http://schemas.microsoft.com/office/drawing/2014/main" id="{18B243E2-77A0-45F1-BCF5-51784DDA244B}"/>
            </a:ext>
          </a:extLst>
        </xdr:cNvPr>
        <xdr:cNvSpPr/>
      </xdr:nvSpPr>
      <xdr:spPr>
        <a:xfrm>
          <a:off x="750931" y="1658165"/>
          <a:ext cx="6331112" cy="396177"/>
        </a:xfrm>
        <a:prstGeom prst="roundRect">
          <a:avLst>
            <a:gd name="adj" fmla="val 11510"/>
          </a:avLst>
        </a:prstGeom>
        <a:solidFill>
          <a:srgbClr val="000000">
            <a:alpha val="7098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PFs_Instruções e PFs</a:t>
          </a:r>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539915</xdr:colOff>
      <xdr:row>7</xdr:row>
      <xdr:rowOff>132862</xdr:rowOff>
    </xdr:from>
    <xdr:to>
      <xdr:col>12</xdr:col>
      <xdr:colOff>294380</xdr:colOff>
      <xdr:row>8</xdr:row>
      <xdr:rowOff>5863</xdr:rowOff>
    </xdr:to>
    <xdr:sp macro="" textlink="">
      <xdr:nvSpPr>
        <xdr:cNvPr id="20" name="Rectangle: Rounded Corners 19">
          <a:hlinkClick xmlns:r="http://schemas.openxmlformats.org/officeDocument/2006/relationships" r:id="rId6"/>
          <a:extLst>
            <a:ext uri="{FF2B5EF4-FFF2-40B4-BE49-F238E27FC236}">
              <a16:creationId xmlns:a16="http://schemas.microsoft.com/office/drawing/2014/main" id="{A789B98C-2445-4BAB-93F7-15C8AD89D4D0}"/>
            </a:ext>
          </a:extLst>
        </xdr:cNvPr>
        <xdr:cNvSpPr/>
      </xdr:nvSpPr>
      <xdr:spPr>
        <a:xfrm>
          <a:off x="750930" y="2231293"/>
          <a:ext cx="6331112" cy="400539"/>
        </a:xfrm>
        <a:prstGeom prst="roundRect">
          <a:avLst>
            <a:gd name="adj" fmla="val 11510"/>
          </a:avLst>
        </a:prstGeom>
        <a:solidFill>
          <a:srgbClr val="000000">
            <a:alpha val="7098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TR_Triagem</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514515</xdr:colOff>
      <xdr:row>11</xdr:row>
      <xdr:rowOff>141413</xdr:rowOff>
    </xdr:from>
    <xdr:to>
      <xdr:col>12</xdr:col>
      <xdr:colOff>268980</xdr:colOff>
      <xdr:row>12</xdr:row>
      <xdr:rowOff>227140</xdr:rowOff>
    </xdr:to>
    <xdr:sp macro="" textlink="">
      <xdr:nvSpPr>
        <xdr:cNvPr id="22" name="Rectangle: Rounded Corners 21">
          <a:hlinkClick xmlns:r="http://schemas.openxmlformats.org/officeDocument/2006/relationships" r:id="rId7"/>
          <a:extLst>
            <a:ext uri="{FF2B5EF4-FFF2-40B4-BE49-F238E27FC236}">
              <a16:creationId xmlns:a16="http://schemas.microsoft.com/office/drawing/2014/main" id="{7B5B4F28-8EB5-4757-ACC3-B13529EB9EDC}"/>
            </a:ext>
          </a:extLst>
        </xdr:cNvPr>
        <xdr:cNvSpPr/>
      </xdr:nvSpPr>
      <xdr:spPr>
        <a:xfrm>
          <a:off x="725530" y="3845905"/>
          <a:ext cx="6331112" cy="402250"/>
        </a:xfrm>
        <a:prstGeom prst="roundRect">
          <a:avLst>
            <a:gd name="adj" fmla="val 11510"/>
          </a:avLst>
        </a:prstGeom>
        <a:solidFill>
          <a:srgbClr val="02AEA6">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TM1_micromobilidade</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522982</xdr:colOff>
      <xdr:row>10</xdr:row>
      <xdr:rowOff>63015</xdr:rowOff>
    </xdr:from>
    <xdr:to>
      <xdr:col>12</xdr:col>
      <xdr:colOff>277447</xdr:colOff>
      <xdr:row>10</xdr:row>
      <xdr:rowOff>466404</xdr:rowOff>
    </xdr:to>
    <xdr:sp macro="" textlink="">
      <xdr:nvSpPr>
        <xdr:cNvPr id="24" name="Rectangle: Rounded Corners 23">
          <a:hlinkClick xmlns:r="http://schemas.openxmlformats.org/officeDocument/2006/relationships" r:id="rId8"/>
          <a:extLst>
            <a:ext uri="{FF2B5EF4-FFF2-40B4-BE49-F238E27FC236}">
              <a16:creationId xmlns:a16="http://schemas.microsoft.com/office/drawing/2014/main" id="{F7AF0356-2570-466A-817D-545C6C52DB61}"/>
            </a:ext>
          </a:extLst>
        </xdr:cNvPr>
        <xdr:cNvSpPr/>
      </xdr:nvSpPr>
      <xdr:spPr>
        <a:xfrm>
          <a:off x="733997" y="3298584"/>
          <a:ext cx="6331112" cy="403389"/>
        </a:xfrm>
        <a:prstGeom prst="roundRect">
          <a:avLst>
            <a:gd name="adj" fmla="val 11510"/>
          </a:avLst>
        </a:prstGeom>
        <a:solidFill>
          <a:srgbClr val="014744">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IC_todos os projetos</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514515</xdr:colOff>
      <xdr:row>13</xdr:row>
      <xdr:rowOff>63013</xdr:rowOff>
    </xdr:from>
    <xdr:to>
      <xdr:col>12</xdr:col>
      <xdr:colOff>268980</xdr:colOff>
      <xdr:row>13</xdr:row>
      <xdr:rowOff>466403</xdr:rowOff>
    </xdr:to>
    <xdr:sp macro="" textlink="">
      <xdr:nvSpPr>
        <xdr:cNvPr id="25" name="Rectangle: Rounded Corners 24">
          <a:hlinkClick xmlns:r="http://schemas.openxmlformats.org/officeDocument/2006/relationships" r:id="rId9"/>
          <a:extLst>
            <a:ext uri="{FF2B5EF4-FFF2-40B4-BE49-F238E27FC236}">
              <a16:creationId xmlns:a16="http://schemas.microsoft.com/office/drawing/2014/main" id="{20378D5C-0C1C-4D95-A42A-EC9D7D97F4E2}"/>
            </a:ext>
          </a:extLst>
        </xdr:cNvPr>
        <xdr:cNvSpPr/>
      </xdr:nvSpPr>
      <xdr:spPr>
        <a:xfrm>
          <a:off x="725530" y="4400551"/>
          <a:ext cx="6331112" cy="403390"/>
        </a:xfrm>
        <a:prstGeom prst="roundRect">
          <a:avLst>
            <a:gd name="adj" fmla="val 11510"/>
          </a:avLst>
        </a:prstGeom>
        <a:solidFill>
          <a:srgbClr val="02AEA6">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TM2_rodovia</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514515</xdr:colOff>
      <xdr:row>14</xdr:row>
      <xdr:rowOff>67818</xdr:rowOff>
    </xdr:from>
    <xdr:to>
      <xdr:col>12</xdr:col>
      <xdr:colOff>268980</xdr:colOff>
      <xdr:row>16</xdr:row>
      <xdr:rowOff>3050</xdr:rowOff>
    </xdr:to>
    <xdr:sp macro="" textlink="">
      <xdr:nvSpPr>
        <xdr:cNvPr id="26" name="Rectangle: Rounded Corners 25">
          <a:hlinkClick xmlns:r="http://schemas.openxmlformats.org/officeDocument/2006/relationships" r:id="rId10"/>
          <a:extLst>
            <a:ext uri="{FF2B5EF4-FFF2-40B4-BE49-F238E27FC236}">
              <a16:creationId xmlns:a16="http://schemas.microsoft.com/office/drawing/2014/main" id="{D334BA98-727F-4A39-9B4B-8398B5BAF052}"/>
            </a:ext>
          </a:extLst>
        </xdr:cNvPr>
        <xdr:cNvSpPr/>
      </xdr:nvSpPr>
      <xdr:spPr>
        <a:xfrm>
          <a:off x="725530" y="4956341"/>
          <a:ext cx="6331112" cy="404155"/>
        </a:xfrm>
        <a:prstGeom prst="roundRect">
          <a:avLst>
            <a:gd name="adj" fmla="val 11510"/>
          </a:avLst>
        </a:prstGeom>
        <a:solidFill>
          <a:srgbClr val="02AEA6">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TM3_ferrovia e metro</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504355</xdr:colOff>
      <xdr:row>16</xdr:row>
      <xdr:rowOff>166325</xdr:rowOff>
    </xdr:from>
    <xdr:to>
      <xdr:col>12</xdr:col>
      <xdr:colOff>258820</xdr:colOff>
      <xdr:row>18</xdr:row>
      <xdr:rowOff>97747</xdr:rowOff>
    </xdr:to>
    <xdr:sp macro="" textlink="">
      <xdr:nvSpPr>
        <xdr:cNvPr id="27" name="Rectangle: Rounded Corners 26">
          <a:hlinkClick xmlns:r="http://schemas.openxmlformats.org/officeDocument/2006/relationships" r:id="rId11"/>
          <a:extLst>
            <a:ext uri="{FF2B5EF4-FFF2-40B4-BE49-F238E27FC236}">
              <a16:creationId xmlns:a16="http://schemas.microsoft.com/office/drawing/2014/main" id="{F9DC8196-482B-45CC-B6F7-CC556CA8749C}"/>
            </a:ext>
          </a:extLst>
        </xdr:cNvPr>
        <xdr:cNvSpPr/>
      </xdr:nvSpPr>
      <xdr:spPr>
        <a:xfrm>
          <a:off x="715370" y="5523771"/>
          <a:ext cx="6331112" cy="400345"/>
        </a:xfrm>
        <a:prstGeom prst="roundRect">
          <a:avLst>
            <a:gd name="adj" fmla="val 11510"/>
          </a:avLst>
        </a:prstGeom>
        <a:solidFill>
          <a:srgbClr val="02AEA6">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TM4_transporte vias navegáveis interiores</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518749</xdr:colOff>
      <xdr:row>8</xdr:row>
      <xdr:rowOff>146541</xdr:rowOff>
    </xdr:from>
    <xdr:to>
      <xdr:col>12</xdr:col>
      <xdr:colOff>273214</xdr:colOff>
      <xdr:row>9</xdr:row>
      <xdr:rowOff>101197</xdr:rowOff>
    </xdr:to>
    <xdr:sp macro="" textlink="">
      <xdr:nvSpPr>
        <xdr:cNvPr id="11" name="Rectangle: Rounded Corners 10">
          <a:hlinkClick xmlns:r="http://schemas.openxmlformats.org/officeDocument/2006/relationships" r:id="rId12"/>
          <a:extLst>
            <a:ext uri="{FF2B5EF4-FFF2-40B4-BE49-F238E27FC236}">
              <a16:creationId xmlns:a16="http://schemas.microsoft.com/office/drawing/2014/main" id="{21450916-2B0F-4A58-ACE2-2A512B30582E}"/>
            </a:ext>
          </a:extLst>
        </xdr:cNvPr>
        <xdr:cNvSpPr/>
      </xdr:nvSpPr>
      <xdr:spPr>
        <a:xfrm>
          <a:off x="729764" y="2772510"/>
          <a:ext cx="6331112" cy="400133"/>
        </a:xfrm>
        <a:prstGeom prst="roundRect">
          <a:avLst>
            <a:gd name="adj" fmla="val 11510"/>
          </a:avLst>
        </a:prstGeom>
        <a:solidFill>
          <a:schemeClr val="tx1">
            <a:alpha val="7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ID_Identificação do Projeto</a:t>
          </a:r>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485045</xdr:colOff>
      <xdr:row>19</xdr:row>
      <xdr:rowOff>9528</xdr:rowOff>
    </xdr:from>
    <xdr:to>
      <xdr:col>12</xdr:col>
      <xdr:colOff>239510</xdr:colOff>
      <xdr:row>20</xdr:row>
      <xdr:rowOff>177170</xdr:rowOff>
    </xdr:to>
    <xdr:sp macro="" textlink="">
      <xdr:nvSpPr>
        <xdr:cNvPr id="10" name="Rectangle: Rounded Corners 9">
          <a:hlinkClick xmlns:r="http://schemas.openxmlformats.org/officeDocument/2006/relationships" r:id="rId13"/>
          <a:extLst>
            <a:ext uri="{FF2B5EF4-FFF2-40B4-BE49-F238E27FC236}">
              <a16:creationId xmlns:a16="http://schemas.microsoft.com/office/drawing/2014/main" id="{E899FF85-4CF4-49D4-B70E-F4DEC26A83C5}"/>
            </a:ext>
          </a:extLst>
        </xdr:cNvPr>
        <xdr:cNvSpPr/>
      </xdr:nvSpPr>
      <xdr:spPr>
        <a:xfrm>
          <a:off x="696060" y="6070359"/>
          <a:ext cx="6331112" cy="402103"/>
        </a:xfrm>
        <a:prstGeom prst="roundRect">
          <a:avLst>
            <a:gd name="adj" fmla="val 11510"/>
          </a:avLst>
        </a:prstGeom>
        <a:solidFill>
          <a:srgbClr val="02AEA6">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TM5_parques de estacionamento</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11</xdr:col>
      <xdr:colOff>492369</xdr:colOff>
      <xdr:row>5</xdr:row>
      <xdr:rowOff>270931</xdr:rowOff>
    </xdr:from>
    <xdr:to>
      <xdr:col>25</xdr:col>
      <xdr:colOff>351691</xdr:colOff>
      <xdr:row>29</xdr:row>
      <xdr:rowOff>82060</xdr:rowOff>
    </xdr:to>
    <xdr:sp macro="" textlink="">
      <xdr:nvSpPr>
        <xdr:cNvPr id="28" name="Flowchart: Alternative Process 27">
          <a:extLst>
            <a:ext uri="{FF2B5EF4-FFF2-40B4-BE49-F238E27FC236}">
              <a16:creationId xmlns:a16="http://schemas.microsoft.com/office/drawing/2014/main" id="{CD07664F-21F0-4C35-818C-642E3590B0D0}"/>
            </a:ext>
          </a:extLst>
        </xdr:cNvPr>
        <xdr:cNvSpPr/>
      </xdr:nvSpPr>
      <xdr:spPr>
        <a:xfrm>
          <a:off x="6682154" y="1841823"/>
          <a:ext cx="8323383" cy="6364329"/>
        </a:xfrm>
        <a:prstGeom prst="flowChartAlternateProcess">
          <a:avLst/>
        </a:prstGeom>
        <a:solidFill>
          <a:schemeClr val="accent6">
            <a:lumMod val="40000"/>
            <a:lumOff val="60000"/>
            <a:alpha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400">
            <a:solidFill>
              <a:srgbClr val="01635E"/>
            </a:solidFill>
            <a:latin typeface="Aptos" panose="020B0004020202020204" pitchFamily="34" charset="0"/>
          </a:endParaRPr>
        </a:p>
      </xdr:txBody>
    </xdr:sp>
    <xdr:clientData/>
  </xdr:twoCellAnchor>
  <xdr:twoCellAnchor>
    <xdr:from>
      <xdr:col>13</xdr:col>
      <xdr:colOff>136396</xdr:colOff>
      <xdr:row>7</xdr:row>
      <xdr:rowOff>231973</xdr:rowOff>
    </xdr:from>
    <xdr:to>
      <xdr:col>23</xdr:col>
      <xdr:colOff>382059</xdr:colOff>
      <xdr:row>8</xdr:row>
      <xdr:rowOff>100530</xdr:rowOff>
    </xdr:to>
    <xdr:sp macro="" textlink="">
      <xdr:nvSpPr>
        <xdr:cNvPr id="29" name="Rectangle: Rounded Corners 28">
          <a:hlinkClick xmlns:r="http://schemas.openxmlformats.org/officeDocument/2006/relationships" r:id="rId14"/>
          <a:extLst>
            <a:ext uri="{FF2B5EF4-FFF2-40B4-BE49-F238E27FC236}">
              <a16:creationId xmlns:a16="http://schemas.microsoft.com/office/drawing/2014/main" id="{A90062EA-2560-49B4-99F5-E606D26A7B2F}"/>
            </a:ext>
          </a:extLst>
        </xdr:cNvPr>
        <xdr:cNvSpPr/>
      </xdr:nvSpPr>
      <xdr:spPr>
        <a:xfrm>
          <a:off x="7521934" y="2330404"/>
          <a:ext cx="6318217" cy="396095"/>
        </a:xfrm>
        <a:prstGeom prst="roundRect">
          <a:avLst>
            <a:gd name="adj" fmla="val 11510"/>
          </a:avLst>
        </a:prstGeom>
        <a:solidFill>
          <a:srgbClr val="A9D08E">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RE_resultados</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13</xdr:col>
      <xdr:colOff>126871</xdr:colOff>
      <xdr:row>8</xdr:row>
      <xdr:rowOff>325025</xdr:rowOff>
    </xdr:from>
    <xdr:to>
      <xdr:col>23</xdr:col>
      <xdr:colOff>372534</xdr:colOff>
      <xdr:row>10</xdr:row>
      <xdr:rowOff>108150</xdr:rowOff>
    </xdr:to>
    <xdr:sp macro="" textlink="">
      <xdr:nvSpPr>
        <xdr:cNvPr id="32" name="Rectangle: Rounded Corners 31">
          <a:hlinkClick xmlns:r="http://schemas.openxmlformats.org/officeDocument/2006/relationships" r:id="rId15"/>
          <a:extLst>
            <a:ext uri="{FF2B5EF4-FFF2-40B4-BE49-F238E27FC236}">
              <a16:creationId xmlns:a16="http://schemas.microsoft.com/office/drawing/2014/main" id="{D25291FF-FBED-455B-96D0-3F245EE97C16}"/>
            </a:ext>
          </a:extLst>
        </xdr:cNvPr>
        <xdr:cNvSpPr/>
      </xdr:nvSpPr>
      <xdr:spPr>
        <a:xfrm>
          <a:off x="7512409" y="2950994"/>
          <a:ext cx="6318217" cy="392725"/>
        </a:xfrm>
        <a:prstGeom prst="roundRect">
          <a:avLst>
            <a:gd name="adj" fmla="val 11510"/>
          </a:avLst>
        </a:prstGeom>
        <a:solidFill>
          <a:srgbClr val="FFD757">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Cálculos adicionais_utilizador</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13</xdr:col>
      <xdr:colOff>103165</xdr:colOff>
      <xdr:row>13</xdr:row>
      <xdr:rowOff>457202</xdr:rowOff>
    </xdr:from>
    <xdr:to>
      <xdr:col>23</xdr:col>
      <xdr:colOff>348828</xdr:colOff>
      <xdr:row>15</xdr:row>
      <xdr:rowOff>79720</xdr:rowOff>
    </xdr:to>
    <xdr:sp macro="" textlink="">
      <xdr:nvSpPr>
        <xdr:cNvPr id="37" name="Rectangle: Rounded Corners 36">
          <a:hlinkClick xmlns:r="http://schemas.openxmlformats.org/officeDocument/2006/relationships" r:id="rId16"/>
          <a:extLst>
            <a:ext uri="{FF2B5EF4-FFF2-40B4-BE49-F238E27FC236}">
              <a16:creationId xmlns:a16="http://schemas.microsoft.com/office/drawing/2014/main" id="{E4980201-6D04-461B-88D3-AA64BCA8AA5F}"/>
            </a:ext>
          </a:extLst>
        </xdr:cNvPr>
        <xdr:cNvSpPr/>
      </xdr:nvSpPr>
      <xdr:spPr>
        <a:xfrm>
          <a:off x="7488703" y="4794740"/>
          <a:ext cx="6318217" cy="407965"/>
        </a:xfrm>
        <a:prstGeom prst="roundRect">
          <a:avLst>
            <a:gd name="adj" fmla="val 11510"/>
          </a:avLst>
        </a:prstGeom>
        <a:solidFill>
          <a:srgbClr val="FFD757">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Fatores de Conversão</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13</xdr:col>
      <xdr:colOff>133645</xdr:colOff>
      <xdr:row>12</xdr:row>
      <xdr:rowOff>131300</xdr:rowOff>
    </xdr:from>
    <xdr:to>
      <xdr:col>23</xdr:col>
      <xdr:colOff>379308</xdr:colOff>
      <xdr:row>13</xdr:row>
      <xdr:rowOff>214829</xdr:rowOff>
    </xdr:to>
    <xdr:sp macro="" textlink="">
      <xdr:nvSpPr>
        <xdr:cNvPr id="38" name="Rectangle: Rounded Corners 37">
          <a:hlinkClick xmlns:r="http://schemas.openxmlformats.org/officeDocument/2006/relationships" r:id="rId17"/>
          <a:extLst>
            <a:ext uri="{FF2B5EF4-FFF2-40B4-BE49-F238E27FC236}">
              <a16:creationId xmlns:a16="http://schemas.microsoft.com/office/drawing/2014/main" id="{B7811A6D-9679-4488-99E7-DD9BCE04B000}"/>
            </a:ext>
          </a:extLst>
        </xdr:cNvPr>
        <xdr:cNvSpPr/>
      </xdr:nvSpPr>
      <xdr:spPr>
        <a:xfrm>
          <a:off x="7519183" y="4152315"/>
          <a:ext cx="6318217" cy="400052"/>
        </a:xfrm>
        <a:prstGeom prst="roundRect">
          <a:avLst>
            <a:gd name="adj" fmla="val 11510"/>
          </a:avLst>
        </a:prstGeom>
        <a:solidFill>
          <a:srgbClr val="FFD757">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Fatores de Emissão</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13</xdr:col>
      <xdr:colOff>133645</xdr:colOff>
      <xdr:row>10</xdr:row>
      <xdr:rowOff>329420</xdr:rowOff>
    </xdr:from>
    <xdr:to>
      <xdr:col>23</xdr:col>
      <xdr:colOff>379308</xdr:colOff>
      <xdr:row>11</xdr:row>
      <xdr:rowOff>247507</xdr:rowOff>
    </xdr:to>
    <xdr:sp macro="" textlink="">
      <xdr:nvSpPr>
        <xdr:cNvPr id="39" name="Rectangle: Rounded Corners 38">
          <a:hlinkClick xmlns:r="http://schemas.openxmlformats.org/officeDocument/2006/relationships" r:id="rId18"/>
          <a:extLst>
            <a:ext uri="{FF2B5EF4-FFF2-40B4-BE49-F238E27FC236}">
              <a16:creationId xmlns:a16="http://schemas.microsoft.com/office/drawing/2014/main" id="{5A4526DB-1ECE-4EEB-854D-09435BFB817B}"/>
            </a:ext>
          </a:extLst>
        </xdr:cNvPr>
        <xdr:cNvSpPr/>
      </xdr:nvSpPr>
      <xdr:spPr>
        <a:xfrm>
          <a:off x="7519183" y="3564989"/>
          <a:ext cx="6318217" cy="387010"/>
        </a:xfrm>
        <a:prstGeom prst="roundRect">
          <a:avLst>
            <a:gd name="adj" fmla="val 11510"/>
          </a:avLst>
        </a:prstGeom>
        <a:solidFill>
          <a:srgbClr val="FFD757">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Glossário</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13</xdr:col>
      <xdr:colOff>126025</xdr:colOff>
      <xdr:row>16</xdr:row>
      <xdr:rowOff>74004</xdr:rowOff>
    </xdr:from>
    <xdr:to>
      <xdr:col>23</xdr:col>
      <xdr:colOff>371688</xdr:colOff>
      <xdr:row>18</xdr:row>
      <xdr:rowOff>13046</xdr:rowOff>
    </xdr:to>
    <xdr:sp macro="" textlink="">
      <xdr:nvSpPr>
        <xdr:cNvPr id="12" name="Rectangle: Rounded Corners 11">
          <a:hlinkClick xmlns:r="http://schemas.openxmlformats.org/officeDocument/2006/relationships" r:id="rId19"/>
          <a:extLst>
            <a:ext uri="{FF2B5EF4-FFF2-40B4-BE49-F238E27FC236}">
              <a16:creationId xmlns:a16="http://schemas.microsoft.com/office/drawing/2014/main" id="{E1BB587E-11D5-469B-8FD7-0C2A7CC64ACB}"/>
            </a:ext>
          </a:extLst>
        </xdr:cNvPr>
        <xdr:cNvSpPr/>
      </xdr:nvSpPr>
      <xdr:spPr>
        <a:xfrm>
          <a:off x="7511563" y="5431450"/>
          <a:ext cx="6318217" cy="407965"/>
        </a:xfrm>
        <a:prstGeom prst="roundRect">
          <a:avLst>
            <a:gd name="adj" fmla="val 11510"/>
          </a:avLst>
        </a:prstGeom>
        <a:solidFill>
          <a:srgbClr val="FFD757">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Ficha técnica e registo de atualizações</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8</xdr:col>
      <xdr:colOff>593725</xdr:colOff>
      <xdr:row>1</xdr:row>
      <xdr:rowOff>73024</xdr:rowOff>
    </xdr:from>
    <xdr:to>
      <xdr:col>9</xdr:col>
      <xdr:colOff>0</xdr:colOff>
      <xdr:row>2</xdr:row>
      <xdr:rowOff>0</xdr:rowOff>
    </xdr:to>
    <xdr:grpSp>
      <xdr:nvGrpSpPr>
        <xdr:cNvPr id="36" name="Group 35">
          <a:hlinkClick xmlns:r="http://schemas.openxmlformats.org/officeDocument/2006/relationships" r:id="rId20"/>
          <a:extLst>
            <a:ext uri="{FF2B5EF4-FFF2-40B4-BE49-F238E27FC236}">
              <a16:creationId xmlns:a16="http://schemas.microsoft.com/office/drawing/2014/main" id="{03F3D14A-4BE7-473F-BAE8-D04A7CC2B3E1}"/>
            </a:ext>
          </a:extLst>
        </xdr:cNvPr>
        <xdr:cNvGrpSpPr/>
      </xdr:nvGrpSpPr>
      <xdr:grpSpPr>
        <a:xfrm>
          <a:off x="4884057" y="181881"/>
          <a:ext cx="907" cy="811440"/>
          <a:chOff x="17877692" y="281353"/>
          <a:chExt cx="750277" cy="721817"/>
        </a:xfrm>
      </xdr:grpSpPr>
      <xdr:pic>
        <xdr:nvPicPr>
          <xdr:cNvPr id="40" name="Graphic 39" descr="Home outline">
            <a:extLst>
              <a:ext uri="{FF2B5EF4-FFF2-40B4-BE49-F238E27FC236}">
                <a16:creationId xmlns:a16="http://schemas.microsoft.com/office/drawing/2014/main" id="{0C9D3BE3-AC93-9F96-4F2E-1A146AAE53D0}"/>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17936307" y="281353"/>
            <a:ext cx="504093" cy="504093"/>
          </a:xfrm>
          <a:prstGeom prst="rect">
            <a:avLst/>
          </a:prstGeom>
        </xdr:spPr>
      </xdr:pic>
      <xdr:sp macro="" textlink="">
        <xdr:nvSpPr>
          <xdr:cNvPr id="41" name="TextBox 40">
            <a:extLst>
              <a:ext uri="{FF2B5EF4-FFF2-40B4-BE49-F238E27FC236}">
                <a16:creationId xmlns:a16="http://schemas.microsoft.com/office/drawing/2014/main" id="{0C1474CA-4EB8-F8A1-8FAF-1BABF3D87502}"/>
              </a:ext>
            </a:extLst>
          </xdr:cNvPr>
          <xdr:cNvSpPr txBox="1"/>
        </xdr:nvSpPr>
        <xdr:spPr>
          <a:xfrm>
            <a:off x="17877692" y="738553"/>
            <a:ext cx="750277" cy="264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tx1"/>
                </a:solidFill>
                <a:latin typeface="Aptos" panose="020B0004020202020204" pitchFamily="34" charset="0"/>
              </a:rPr>
              <a:t>   Índice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354874</xdr:colOff>
      <xdr:row>5</xdr:row>
      <xdr:rowOff>0</xdr:rowOff>
    </xdr:from>
    <xdr:to>
      <xdr:col>22</xdr:col>
      <xdr:colOff>354874</xdr:colOff>
      <xdr:row>23</xdr:row>
      <xdr:rowOff>680656</xdr:rowOff>
    </xdr:to>
    <xdr:pic>
      <xdr:nvPicPr>
        <xdr:cNvPr id="21" name="Picture 20">
          <a:extLst>
            <a:ext uri="{FF2B5EF4-FFF2-40B4-BE49-F238E27FC236}">
              <a16:creationId xmlns:a16="http://schemas.microsoft.com/office/drawing/2014/main" id="{C6BA19BF-4823-4308-A0B0-8C20FCAD6A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79994" y="3383280"/>
          <a:ext cx="0" cy="6531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279400</xdr:colOff>
      <xdr:row>4</xdr:row>
      <xdr:rowOff>172155</xdr:rowOff>
    </xdr:from>
    <xdr:to>
      <xdr:col>1</xdr:col>
      <xdr:colOff>1879600</xdr:colOff>
      <xdr:row>8</xdr:row>
      <xdr:rowOff>0</xdr:rowOff>
    </xdr:to>
    <xdr:sp macro="" textlink="">
      <xdr:nvSpPr>
        <xdr:cNvPr id="27" name="TextBox 26">
          <a:hlinkClick xmlns:r="http://schemas.openxmlformats.org/officeDocument/2006/relationships" r:id="rId2"/>
          <a:extLst>
            <a:ext uri="{FF2B5EF4-FFF2-40B4-BE49-F238E27FC236}">
              <a16:creationId xmlns:a16="http://schemas.microsoft.com/office/drawing/2014/main" id="{AE4F71FF-B11A-41C2-962A-8C5C0EE89E98}"/>
            </a:ext>
          </a:extLst>
        </xdr:cNvPr>
        <xdr:cNvSpPr txBox="1"/>
      </xdr:nvSpPr>
      <xdr:spPr>
        <a:xfrm>
          <a:off x="584200" y="1492955"/>
          <a:ext cx="1600200" cy="1618545"/>
        </a:xfrm>
        <a:prstGeom prst="roundRect">
          <a:avLst/>
        </a:prstGeom>
        <a:solidFill>
          <a:srgbClr val="FFC000"/>
        </a:solidFill>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t"/>
        <a:lstStyle/>
        <a:p>
          <a:pPr algn="ctr"/>
          <a:r>
            <a:rPr lang="en-US" sz="1200" b="0">
              <a:solidFill>
                <a:schemeClr val="bg1"/>
              </a:solidFill>
              <a:latin typeface="Roboto" panose="02000000000000000000" pitchFamily="2" charset="0"/>
              <a:ea typeface="Roboto" panose="02000000000000000000" pitchFamily="2" charset="0"/>
            </a:rPr>
            <a:t>1.  Objetivos, indicadores e emissões de GEE, referenciais metodológicos e projetos abrangidos pela calculadora</a:t>
          </a:r>
        </a:p>
      </xdr:txBody>
    </xdr:sp>
    <xdr:clientData/>
  </xdr:twoCellAnchor>
  <xdr:twoCellAnchor>
    <xdr:from>
      <xdr:col>22</xdr:col>
      <xdr:colOff>222743</xdr:colOff>
      <xdr:row>2</xdr:row>
      <xdr:rowOff>70338</xdr:rowOff>
    </xdr:from>
    <xdr:to>
      <xdr:col>23</xdr:col>
      <xdr:colOff>363420</xdr:colOff>
      <xdr:row>3</xdr:row>
      <xdr:rowOff>834</xdr:rowOff>
    </xdr:to>
    <xdr:grpSp>
      <xdr:nvGrpSpPr>
        <xdr:cNvPr id="34" name="Group 33">
          <a:hlinkClick xmlns:r="http://schemas.openxmlformats.org/officeDocument/2006/relationships" r:id="rId3"/>
          <a:extLst>
            <a:ext uri="{FF2B5EF4-FFF2-40B4-BE49-F238E27FC236}">
              <a16:creationId xmlns:a16="http://schemas.microsoft.com/office/drawing/2014/main" id="{3FF9CD4C-9F99-4A6B-A735-49E85CB1EAA9}"/>
            </a:ext>
          </a:extLst>
        </xdr:cNvPr>
        <xdr:cNvGrpSpPr/>
      </xdr:nvGrpSpPr>
      <xdr:grpSpPr>
        <a:xfrm>
          <a:off x="29355636" y="492159"/>
          <a:ext cx="725784" cy="814961"/>
          <a:chOff x="17877692" y="281353"/>
          <a:chExt cx="750277" cy="768696"/>
        </a:xfrm>
      </xdr:grpSpPr>
      <xdr:pic>
        <xdr:nvPicPr>
          <xdr:cNvPr id="35" name="Graphic 34" descr="Home outline">
            <a:extLst>
              <a:ext uri="{FF2B5EF4-FFF2-40B4-BE49-F238E27FC236}">
                <a16:creationId xmlns:a16="http://schemas.microsoft.com/office/drawing/2014/main" id="{59DA18E1-5842-A55B-0686-DB4B66A27C18}"/>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936307" y="281353"/>
            <a:ext cx="504093" cy="504093"/>
          </a:xfrm>
          <a:prstGeom prst="rect">
            <a:avLst/>
          </a:prstGeom>
        </xdr:spPr>
      </xdr:pic>
      <xdr:sp macro="" textlink="">
        <xdr:nvSpPr>
          <xdr:cNvPr id="36" name="TextBox 35">
            <a:extLst>
              <a:ext uri="{FF2B5EF4-FFF2-40B4-BE49-F238E27FC236}">
                <a16:creationId xmlns:a16="http://schemas.microsoft.com/office/drawing/2014/main" id="{5F27ED0D-7ED3-580D-2CE3-51E3923D9ECC}"/>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Índice</a:t>
            </a:r>
          </a:p>
        </xdr:txBody>
      </xdr:sp>
    </xdr:grpSp>
    <xdr:clientData/>
  </xdr:twoCellAnchor>
  <xdr:twoCellAnchor editAs="oneCell">
    <xdr:from>
      <xdr:col>5</xdr:col>
      <xdr:colOff>91831</xdr:colOff>
      <xdr:row>2</xdr:row>
      <xdr:rowOff>157286</xdr:rowOff>
    </xdr:from>
    <xdr:to>
      <xdr:col>5</xdr:col>
      <xdr:colOff>853468</xdr:colOff>
      <xdr:row>2</xdr:row>
      <xdr:rowOff>838199</xdr:rowOff>
    </xdr:to>
    <xdr:pic>
      <xdr:nvPicPr>
        <xdr:cNvPr id="37" name="Picture 36">
          <a:extLst>
            <a:ext uri="{FF2B5EF4-FFF2-40B4-BE49-F238E27FC236}">
              <a16:creationId xmlns:a16="http://schemas.microsoft.com/office/drawing/2014/main" id="{5C11BF6E-040C-485F-90AC-A04CF5462EBD}"/>
            </a:ext>
          </a:extLst>
        </xdr:cNvPr>
        <xdr:cNvPicPr>
          <a:picLocks noChangeAspect="1"/>
        </xdr:cNvPicPr>
      </xdr:nvPicPr>
      <xdr:blipFill>
        <a:blip xmlns:r="http://schemas.openxmlformats.org/officeDocument/2006/relationships" r:embed="rId6"/>
        <a:stretch>
          <a:fillRect/>
        </a:stretch>
      </xdr:blipFill>
      <xdr:spPr>
        <a:xfrm>
          <a:off x="8407156" y="557336"/>
          <a:ext cx="761637" cy="680913"/>
        </a:xfrm>
        <a:prstGeom prst="rect">
          <a:avLst/>
        </a:prstGeom>
      </xdr:spPr>
    </xdr:pic>
    <xdr:clientData/>
  </xdr:twoCellAnchor>
  <xdr:twoCellAnchor>
    <xdr:from>
      <xdr:col>3</xdr:col>
      <xdr:colOff>139700</xdr:colOff>
      <xdr:row>4</xdr:row>
      <xdr:rowOff>114300</xdr:rowOff>
    </xdr:from>
    <xdr:to>
      <xdr:col>3</xdr:col>
      <xdr:colOff>1828800</xdr:colOff>
      <xdr:row>8</xdr:row>
      <xdr:rowOff>0</xdr:rowOff>
    </xdr:to>
    <xdr:sp macro="" textlink="">
      <xdr:nvSpPr>
        <xdr:cNvPr id="19" name="TextBox 18">
          <a:hlinkClick xmlns:r="http://schemas.openxmlformats.org/officeDocument/2006/relationships" r:id="rId7"/>
          <a:extLst>
            <a:ext uri="{FF2B5EF4-FFF2-40B4-BE49-F238E27FC236}">
              <a16:creationId xmlns:a16="http://schemas.microsoft.com/office/drawing/2014/main" id="{E688C081-0108-4E93-B81E-64031708AA0E}"/>
            </a:ext>
          </a:extLst>
        </xdr:cNvPr>
        <xdr:cNvSpPr txBox="1"/>
      </xdr:nvSpPr>
      <xdr:spPr>
        <a:xfrm>
          <a:off x="4352471" y="1529443"/>
          <a:ext cx="1689100" cy="1866900"/>
        </a:xfrm>
        <a:prstGeom prst="roundRect">
          <a:avLst/>
        </a:prstGeom>
        <a:solidFill>
          <a:srgbClr val="FFC000"/>
        </a:solidFill>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t"/>
        <a:lstStyle/>
        <a:p>
          <a:pPr algn="ctr"/>
          <a:r>
            <a:rPr lang="en-US" sz="1200" b="0">
              <a:solidFill>
                <a:schemeClr val="bg1"/>
              </a:solidFill>
              <a:latin typeface="Roboto" panose="02000000000000000000" pitchFamily="2" charset="0"/>
              <a:ea typeface="Roboto" panose="02000000000000000000" pitchFamily="2" charset="0"/>
            </a:rPr>
            <a:t>2. Referenciais metodológicos, pressupostos metodológicos e fatores de emissão padrão utilizados na calculadora</a:t>
          </a:r>
        </a:p>
      </xdr:txBody>
    </xdr:sp>
    <xdr:clientData/>
  </xdr:twoCellAnchor>
  <xdr:twoCellAnchor>
    <xdr:from>
      <xdr:col>5</xdr:col>
      <xdr:colOff>266700</xdr:colOff>
      <xdr:row>4</xdr:row>
      <xdr:rowOff>114300</xdr:rowOff>
    </xdr:from>
    <xdr:to>
      <xdr:col>5</xdr:col>
      <xdr:colOff>1955800</xdr:colOff>
      <xdr:row>8</xdr:row>
      <xdr:rowOff>0</xdr:rowOff>
    </xdr:to>
    <xdr:sp macro="" textlink="">
      <xdr:nvSpPr>
        <xdr:cNvPr id="39" name="TextBox 38">
          <a:hlinkClick xmlns:r="http://schemas.openxmlformats.org/officeDocument/2006/relationships" r:id="rId8"/>
          <a:extLst>
            <a:ext uri="{FF2B5EF4-FFF2-40B4-BE49-F238E27FC236}">
              <a16:creationId xmlns:a16="http://schemas.microsoft.com/office/drawing/2014/main" id="{BB3EDEF8-B002-45E8-AE2F-A4F9D8637DD3}"/>
            </a:ext>
          </a:extLst>
        </xdr:cNvPr>
        <xdr:cNvSpPr txBox="1"/>
      </xdr:nvSpPr>
      <xdr:spPr>
        <a:xfrm>
          <a:off x="8474529" y="1529443"/>
          <a:ext cx="1689100" cy="1866900"/>
        </a:xfrm>
        <a:prstGeom prst="roundRect">
          <a:avLst/>
        </a:prstGeom>
        <a:solidFill>
          <a:srgbClr val="FFC000"/>
        </a:solidFill>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t"/>
        <a:lstStyle/>
        <a:p>
          <a:r>
            <a:rPr lang="en-US" sz="1200" b="0">
              <a:solidFill>
                <a:schemeClr val="bg1"/>
              </a:solidFill>
              <a:latin typeface="Roboto" panose="02000000000000000000" pitchFamily="2" charset="0"/>
              <a:ea typeface="Roboto" panose="02000000000000000000" pitchFamily="2" charset="0"/>
              <a:cs typeface="+mn-cs"/>
            </a:rPr>
            <a:t>3. Instruções para a utilização da GEE_mobilidade</a:t>
          </a:r>
          <a:endParaRPr lang="en-GB" sz="1200" b="0">
            <a:solidFill>
              <a:schemeClr val="bg1"/>
            </a:solidFill>
            <a:latin typeface="Roboto" panose="02000000000000000000" pitchFamily="2" charset="0"/>
            <a:ea typeface="Roboto" panose="02000000000000000000" pitchFamily="2" charset="0"/>
            <a:cs typeface="+mn-cs"/>
          </a:endParaRPr>
        </a:p>
      </xdr:txBody>
    </xdr:sp>
    <xdr:clientData/>
  </xdr:twoCellAnchor>
  <xdr:twoCellAnchor>
    <xdr:from>
      <xdr:col>7</xdr:col>
      <xdr:colOff>874486</xdr:colOff>
      <xdr:row>4</xdr:row>
      <xdr:rowOff>50074</xdr:rowOff>
    </xdr:from>
    <xdr:to>
      <xdr:col>8</xdr:col>
      <xdr:colOff>798286</xdr:colOff>
      <xdr:row>7</xdr:row>
      <xdr:rowOff>514894</xdr:rowOff>
    </xdr:to>
    <xdr:sp macro="" textlink="">
      <xdr:nvSpPr>
        <xdr:cNvPr id="41" name="TextBox 40">
          <a:hlinkClick xmlns:r="http://schemas.openxmlformats.org/officeDocument/2006/relationships" r:id="rId9"/>
          <a:extLst>
            <a:ext uri="{FF2B5EF4-FFF2-40B4-BE49-F238E27FC236}">
              <a16:creationId xmlns:a16="http://schemas.microsoft.com/office/drawing/2014/main" id="{A0A383A1-D86D-484B-9E63-1FB1D0385BA8}"/>
            </a:ext>
          </a:extLst>
        </xdr:cNvPr>
        <xdr:cNvSpPr txBox="1"/>
      </xdr:nvSpPr>
      <xdr:spPr>
        <a:xfrm>
          <a:off x="13371286" y="1465217"/>
          <a:ext cx="1687286" cy="1869077"/>
        </a:xfrm>
        <a:prstGeom prst="roundRect">
          <a:avLst/>
        </a:prstGeom>
        <a:solidFill>
          <a:srgbClr val="FFC000"/>
        </a:solidFill>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t"/>
        <a:lstStyle/>
        <a:p>
          <a:r>
            <a:rPr lang="en-US" sz="1200" b="0">
              <a:solidFill>
                <a:schemeClr val="bg1"/>
              </a:solidFill>
              <a:latin typeface="Roboto" panose="02000000000000000000" pitchFamily="2" charset="0"/>
              <a:ea typeface="Roboto" panose="02000000000000000000" pitchFamily="2" charset="0"/>
              <a:cs typeface="+mn-cs"/>
            </a:rPr>
            <a:t>4. Exemplos de cálculo de emissões de GEE em projetos de mobilidade</a:t>
          </a:r>
          <a:endParaRPr lang="en-GB" sz="1200" b="0">
            <a:solidFill>
              <a:schemeClr val="bg1"/>
            </a:solidFill>
            <a:latin typeface="Roboto" panose="02000000000000000000" pitchFamily="2" charset="0"/>
            <a:ea typeface="Roboto" panose="02000000000000000000" pitchFamily="2" charset="0"/>
            <a:cs typeface="+mn-cs"/>
          </a:endParaRPr>
        </a:p>
      </xdr:txBody>
    </xdr:sp>
    <xdr:clientData/>
  </xdr:twoCellAnchor>
  <xdr:twoCellAnchor>
    <xdr:from>
      <xdr:col>5</xdr:col>
      <xdr:colOff>653142</xdr:colOff>
      <xdr:row>2</xdr:row>
      <xdr:rowOff>152400</xdr:rowOff>
    </xdr:from>
    <xdr:to>
      <xdr:col>5</xdr:col>
      <xdr:colOff>1381647</xdr:colOff>
      <xdr:row>2</xdr:row>
      <xdr:rowOff>832628</xdr:rowOff>
    </xdr:to>
    <xdr:grpSp>
      <xdr:nvGrpSpPr>
        <xdr:cNvPr id="2" name="Group 1">
          <a:hlinkClick xmlns:r="http://schemas.openxmlformats.org/officeDocument/2006/relationships" r:id="rId3"/>
          <a:extLst>
            <a:ext uri="{FF2B5EF4-FFF2-40B4-BE49-F238E27FC236}">
              <a16:creationId xmlns:a16="http://schemas.microsoft.com/office/drawing/2014/main" id="{255073CB-6FCB-430A-A40F-F48BD3200ECB}"/>
            </a:ext>
          </a:extLst>
        </xdr:cNvPr>
        <xdr:cNvGrpSpPr/>
      </xdr:nvGrpSpPr>
      <xdr:grpSpPr>
        <a:xfrm>
          <a:off x="8626928" y="574221"/>
          <a:ext cx="728505" cy="680228"/>
          <a:chOff x="17877692" y="281353"/>
          <a:chExt cx="750277" cy="768696"/>
        </a:xfrm>
      </xdr:grpSpPr>
      <xdr:pic>
        <xdr:nvPicPr>
          <xdr:cNvPr id="3" name="Graphic 2" descr="Home outline">
            <a:extLst>
              <a:ext uri="{FF2B5EF4-FFF2-40B4-BE49-F238E27FC236}">
                <a16:creationId xmlns:a16="http://schemas.microsoft.com/office/drawing/2014/main" id="{1F4494D0-8C19-F21B-9609-B2F7F64D154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936307" y="281353"/>
            <a:ext cx="504093" cy="504093"/>
          </a:xfrm>
          <a:prstGeom prst="rect">
            <a:avLst/>
          </a:prstGeom>
        </xdr:spPr>
      </xdr:pic>
      <xdr:sp macro="" textlink="">
        <xdr:nvSpPr>
          <xdr:cNvPr id="4" name="TextBox 3">
            <a:hlinkClick xmlns:r="http://schemas.openxmlformats.org/officeDocument/2006/relationships" r:id="rId3"/>
            <a:extLst>
              <a:ext uri="{FF2B5EF4-FFF2-40B4-BE49-F238E27FC236}">
                <a16:creationId xmlns:a16="http://schemas.microsoft.com/office/drawing/2014/main" id="{D99197B2-F255-24CD-E69E-1202D5C9BACE}"/>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Índice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6438829</xdr:colOff>
      <xdr:row>1</xdr:row>
      <xdr:rowOff>97931</xdr:rowOff>
    </xdr:from>
    <xdr:to>
      <xdr:col>2</xdr:col>
      <xdr:colOff>7182711</xdr:colOff>
      <xdr:row>1</xdr:row>
      <xdr:rowOff>875292</xdr:rowOff>
    </xdr:to>
    <xdr:grpSp>
      <xdr:nvGrpSpPr>
        <xdr:cNvPr id="6" name="Group 5">
          <a:hlinkClick xmlns:r="http://schemas.openxmlformats.org/officeDocument/2006/relationships" r:id="rId1"/>
          <a:extLst>
            <a:ext uri="{FF2B5EF4-FFF2-40B4-BE49-F238E27FC236}">
              <a16:creationId xmlns:a16="http://schemas.microsoft.com/office/drawing/2014/main" id="{1105C62E-090C-8160-281F-7E72ECF76192}"/>
            </a:ext>
          </a:extLst>
        </xdr:cNvPr>
        <xdr:cNvGrpSpPr/>
      </xdr:nvGrpSpPr>
      <xdr:grpSpPr>
        <a:xfrm>
          <a:off x="12039529" y="288431"/>
          <a:ext cx="743882" cy="777361"/>
          <a:chOff x="17877692" y="281353"/>
          <a:chExt cx="750277" cy="768696"/>
        </a:xfrm>
      </xdr:grpSpPr>
      <xdr:pic>
        <xdr:nvPicPr>
          <xdr:cNvPr id="4" name="Graphic 3" descr="Home outline">
            <a:extLst>
              <a:ext uri="{FF2B5EF4-FFF2-40B4-BE49-F238E27FC236}">
                <a16:creationId xmlns:a16="http://schemas.microsoft.com/office/drawing/2014/main" id="{8DF41EDB-00F9-D15B-E30B-4BA7063A261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936307" y="281353"/>
            <a:ext cx="504093" cy="504093"/>
          </a:xfrm>
          <a:prstGeom prst="rect">
            <a:avLst/>
          </a:prstGeom>
        </xdr:spPr>
      </xdr:pic>
      <xdr:sp macro="" textlink="">
        <xdr:nvSpPr>
          <xdr:cNvPr id="5" name="TextBox 4">
            <a:hlinkClick xmlns:r="http://schemas.openxmlformats.org/officeDocument/2006/relationships" r:id="rId1"/>
            <a:extLst>
              <a:ext uri="{FF2B5EF4-FFF2-40B4-BE49-F238E27FC236}">
                <a16:creationId xmlns:a16="http://schemas.microsoft.com/office/drawing/2014/main" id="{5E4D9D9C-57ED-EC67-402A-7AC36CB412EC}"/>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Índice</a:t>
            </a:r>
          </a:p>
        </xdr:txBody>
      </xdr:sp>
    </xdr:grpSp>
    <xdr:clientData/>
  </xdr:twoCellAnchor>
  <xdr:twoCellAnchor>
    <xdr:from>
      <xdr:col>2</xdr:col>
      <xdr:colOff>4327603</xdr:colOff>
      <xdr:row>1</xdr:row>
      <xdr:rowOff>13497</xdr:rowOff>
    </xdr:from>
    <xdr:to>
      <xdr:col>2</xdr:col>
      <xdr:colOff>6368486</xdr:colOff>
      <xdr:row>3</xdr:row>
      <xdr:rowOff>209237</xdr:rowOff>
    </xdr:to>
    <xdr:grpSp>
      <xdr:nvGrpSpPr>
        <xdr:cNvPr id="8" name="Group 7">
          <a:hlinkClick xmlns:r="http://schemas.openxmlformats.org/officeDocument/2006/relationships" r:id="rId4"/>
          <a:extLst>
            <a:ext uri="{FF2B5EF4-FFF2-40B4-BE49-F238E27FC236}">
              <a16:creationId xmlns:a16="http://schemas.microsoft.com/office/drawing/2014/main" id="{9F0409EC-1BE6-2D87-5F4C-4959B45D5145}"/>
            </a:ext>
          </a:extLst>
        </xdr:cNvPr>
        <xdr:cNvGrpSpPr/>
      </xdr:nvGrpSpPr>
      <xdr:grpSpPr>
        <a:xfrm>
          <a:off x="9928303" y="203997"/>
          <a:ext cx="2040883" cy="1300640"/>
          <a:chOff x="17335500" y="165100"/>
          <a:chExt cx="1790700" cy="1187450"/>
        </a:xfrm>
      </xdr:grpSpPr>
      <xdr:pic>
        <xdr:nvPicPr>
          <xdr:cNvPr id="2" name="Graphic 1" descr="Badge Question Mark outline">
            <a:extLst>
              <a:ext uri="{FF2B5EF4-FFF2-40B4-BE49-F238E27FC236}">
                <a16:creationId xmlns:a16="http://schemas.microsoft.com/office/drawing/2014/main" id="{950A65E5-B45D-4AC0-AACE-882B29E7E037}"/>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802226" y="165100"/>
            <a:ext cx="638175" cy="638175"/>
          </a:xfrm>
          <a:prstGeom prst="rect">
            <a:avLst/>
          </a:prstGeom>
        </xdr:spPr>
      </xdr:pic>
      <xdr:sp macro="" textlink="">
        <xdr:nvSpPr>
          <xdr:cNvPr id="7" name="TextBox 6">
            <a:hlinkClick xmlns:r="http://schemas.openxmlformats.org/officeDocument/2006/relationships" r:id="rId4"/>
            <a:extLst>
              <a:ext uri="{FF2B5EF4-FFF2-40B4-BE49-F238E27FC236}">
                <a16:creationId xmlns:a16="http://schemas.microsoft.com/office/drawing/2014/main" id="{00CF39AF-6B76-405F-94B9-82D369312200}"/>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2</xdr:col>
      <xdr:colOff>3136900</xdr:colOff>
      <xdr:row>1</xdr:row>
      <xdr:rowOff>203200</xdr:rowOff>
    </xdr:from>
    <xdr:to>
      <xdr:col>2</xdr:col>
      <xdr:colOff>3676160</xdr:colOff>
      <xdr:row>1</xdr:row>
      <xdr:rowOff>734757</xdr:rowOff>
    </xdr:to>
    <xdr:pic>
      <xdr:nvPicPr>
        <xdr:cNvPr id="9" name="Graphic 8" descr="List outline">
          <a:extLst>
            <a:ext uri="{FF2B5EF4-FFF2-40B4-BE49-F238E27FC236}">
              <a16:creationId xmlns:a16="http://schemas.microsoft.com/office/drawing/2014/main" id="{5DBC50A6-B1E8-4E0F-BD21-EED1A1CE7574}"/>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8902700" y="381000"/>
          <a:ext cx="539260" cy="5315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1869819</xdr:colOff>
      <xdr:row>1</xdr:row>
      <xdr:rowOff>105509</xdr:rowOff>
    </xdr:from>
    <xdr:to>
      <xdr:col>4</xdr:col>
      <xdr:colOff>234450</xdr:colOff>
      <xdr:row>2</xdr:row>
      <xdr:rowOff>58615</xdr:rowOff>
    </xdr:to>
    <xdr:grpSp>
      <xdr:nvGrpSpPr>
        <xdr:cNvPr id="8" name="Group 7">
          <a:extLst>
            <a:ext uri="{FF2B5EF4-FFF2-40B4-BE49-F238E27FC236}">
              <a16:creationId xmlns:a16="http://schemas.microsoft.com/office/drawing/2014/main" id="{948B6032-62CA-BF54-6DFC-7E30993F7E10}"/>
            </a:ext>
          </a:extLst>
        </xdr:cNvPr>
        <xdr:cNvGrpSpPr/>
      </xdr:nvGrpSpPr>
      <xdr:grpSpPr>
        <a:xfrm>
          <a:off x="11218973" y="296009"/>
          <a:ext cx="1119554" cy="920260"/>
          <a:chOff x="12174417" y="504092"/>
          <a:chExt cx="839373" cy="613116"/>
        </a:xfrm>
      </xdr:grpSpPr>
      <xdr:pic>
        <xdr:nvPicPr>
          <xdr:cNvPr id="6" name="Graphic 5" descr="Home outline">
            <a:hlinkClick xmlns:r="http://schemas.openxmlformats.org/officeDocument/2006/relationships" r:id="rId1"/>
            <a:extLst>
              <a:ext uri="{FF2B5EF4-FFF2-40B4-BE49-F238E27FC236}">
                <a16:creationId xmlns:a16="http://schemas.microsoft.com/office/drawing/2014/main" id="{3DB419F6-9B51-E5DF-BC57-3482E831FCA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243352" y="504092"/>
            <a:ext cx="465390" cy="404074"/>
          </a:xfrm>
          <a:prstGeom prst="rect">
            <a:avLst/>
          </a:prstGeom>
        </xdr:spPr>
      </xdr:pic>
      <xdr:sp macro="" textlink="">
        <xdr:nvSpPr>
          <xdr:cNvPr id="7" name="TextBox 6">
            <a:extLst>
              <a:ext uri="{FF2B5EF4-FFF2-40B4-BE49-F238E27FC236}">
                <a16:creationId xmlns:a16="http://schemas.microsoft.com/office/drawing/2014/main" id="{C07E2275-415F-D5E1-F762-92EA6A68D2E9}"/>
              </a:ext>
            </a:extLst>
          </xdr:cNvPr>
          <xdr:cNvSpPr txBox="1"/>
        </xdr:nvSpPr>
        <xdr:spPr>
          <a:xfrm>
            <a:off x="12174417" y="845030"/>
            <a:ext cx="839373" cy="2721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GB" sz="1400">
                <a:solidFill>
                  <a:schemeClr val="bg1"/>
                </a:solidFill>
                <a:latin typeface="Aptos" panose="020B0004020202020204" pitchFamily="34" charset="0"/>
              </a:rPr>
              <a:t>  </a:t>
            </a:r>
            <a:r>
              <a:rPr lang="en-GB" sz="1400" baseline="0">
                <a:solidFill>
                  <a:schemeClr val="bg1"/>
                </a:solidFill>
                <a:latin typeface="Aptos" panose="020B0004020202020204" pitchFamily="34" charset="0"/>
              </a:rPr>
              <a:t> </a:t>
            </a:r>
            <a:r>
              <a:rPr lang="en-GB" sz="1400">
                <a:solidFill>
                  <a:schemeClr val="bg1"/>
                </a:solidFill>
                <a:latin typeface="Aptos" panose="020B0004020202020204" pitchFamily="34" charset="0"/>
              </a:rPr>
              <a:t>Índice</a:t>
            </a:r>
          </a:p>
        </xdr:txBody>
      </xdr:sp>
    </xdr:grpSp>
    <xdr:clientData/>
  </xdr:twoCellAnchor>
  <xdr:twoCellAnchor>
    <xdr:from>
      <xdr:col>2</xdr:col>
      <xdr:colOff>543349</xdr:colOff>
      <xdr:row>1</xdr:row>
      <xdr:rowOff>27548</xdr:rowOff>
    </xdr:from>
    <xdr:to>
      <xdr:col>3</xdr:col>
      <xdr:colOff>1143800</xdr:colOff>
      <xdr:row>3</xdr:row>
      <xdr:rowOff>34288</xdr:rowOff>
    </xdr:to>
    <xdr:grpSp>
      <xdr:nvGrpSpPr>
        <xdr:cNvPr id="9" name="Group 8">
          <a:hlinkClick xmlns:r="http://schemas.openxmlformats.org/officeDocument/2006/relationships" r:id="rId4"/>
          <a:extLst>
            <a:ext uri="{FF2B5EF4-FFF2-40B4-BE49-F238E27FC236}">
              <a16:creationId xmlns:a16="http://schemas.microsoft.com/office/drawing/2014/main" id="{F7242EAC-8835-488B-8940-25DEE43EF126}"/>
            </a:ext>
          </a:extLst>
        </xdr:cNvPr>
        <xdr:cNvGrpSpPr/>
      </xdr:nvGrpSpPr>
      <xdr:grpSpPr>
        <a:xfrm>
          <a:off x="8441772" y="218048"/>
          <a:ext cx="2051182" cy="1281625"/>
          <a:chOff x="17335500" y="165100"/>
          <a:chExt cx="1790700" cy="1187450"/>
        </a:xfrm>
      </xdr:grpSpPr>
      <xdr:pic>
        <xdr:nvPicPr>
          <xdr:cNvPr id="10" name="Graphic 9" descr="Badge Question Mark outline">
            <a:extLst>
              <a:ext uri="{FF2B5EF4-FFF2-40B4-BE49-F238E27FC236}">
                <a16:creationId xmlns:a16="http://schemas.microsoft.com/office/drawing/2014/main" id="{1F3E451F-0DB8-720F-BF5E-B4C414B456F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802226" y="165100"/>
            <a:ext cx="638175" cy="638175"/>
          </a:xfrm>
          <a:prstGeom prst="rect">
            <a:avLst/>
          </a:prstGeom>
        </xdr:spPr>
      </xdr:pic>
      <xdr:sp macro="" textlink="">
        <xdr:nvSpPr>
          <xdr:cNvPr id="11" name="TextBox 10">
            <a:hlinkClick xmlns:r="http://schemas.openxmlformats.org/officeDocument/2006/relationships" r:id="rId7"/>
            <a:extLst>
              <a:ext uri="{FF2B5EF4-FFF2-40B4-BE49-F238E27FC236}">
                <a16:creationId xmlns:a16="http://schemas.microsoft.com/office/drawing/2014/main" id="{4E9C7441-FF09-0E3E-A069-151C9031D6C7}"/>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3</xdr:col>
      <xdr:colOff>996446</xdr:colOff>
      <xdr:row>1</xdr:row>
      <xdr:rowOff>121333</xdr:rowOff>
    </xdr:from>
    <xdr:to>
      <xdr:col>3</xdr:col>
      <xdr:colOff>1929690</xdr:colOff>
      <xdr:row>1</xdr:row>
      <xdr:rowOff>952942</xdr:rowOff>
    </xdr:to>
    <xdr:grpSp>
      <xdr:nvGrpSpPr>
        <xdr:cNvPr id="12" name="Group 11">
          <a:hlinkClick xmlns:r="http://schemas.openxmlformats.org/officeDocument/2006/relationships" r:id="rId8"/>
          <a:extLst>
            <a:ext uri="{FF2B5EF4-FFF2-40B4-BE49-F238E27FC236}">
              <a16:creationId xmlns:a16="http://schemas.microsoft.com/office/drawing/2014/main" id="{009CCA5F-56CD-40B6-B202-6DB5DEE7B5E2}"/>
            </a:ext>
          </a:extLst>
        </xdr:cNvPr>
        <xdr:cNvGrpSpPr/>
      </xdr:nvGrpSpPr>
      <xdr:grpSpPr>
        <a:xfrm>
          <a:off x="10345600" y="311833"/>
          <a:ext cx="933244" cy="831609"/>
          <a:chOff x="15486183" y="410307"/>
          <a:chExt cx="855784" cy="808893"/>
        </a:xfrm>
      </xdr:grpSpPr>
      <xdr:sp macro="" textlink="">
        <xdr:nvSpPr>
          <xdr:cNvPr id="13" name="TextBox 12">
            <a:hlinkClick xmlns:r="http://schemas.openxmlformats.org/officeDocument/2006/relationships" r:id="rId9"/>
            <a:extLst>
              <a:ext uri="{FF2B5EF4-FFF2-40B4-BE49-F238E27FC236}">
                <a16:creationId xmlns:a16="http://schemas.microsoft.com/office/drawing/2014/main" id="{54AED4DF-D540-B52C-CFD9-372BAA3CE80F}"/>
              </a:ext>
            </a:extLst>
          </xdr:cNvPr>
          <xdr:cNvSpPr txBox="1"/>
        </xdr:nvSpPr>
        <xdr:spPr>
          <a:xfrm>
            <a:off x="15486183"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16" name="Graphic 15" descr="List outline">
            <a:extLst>
              <a:ext uri="{FF2B5EF4-FFF2-40B4-BE49-F238E27FC236}">
                <a16:creationId xmlns:a16="http://schemas.microsoft.com/office/drawing/2014/main" id="{57A403A7-629D-9210-2F16-BB56B438D293}"/>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5603415" y="410307"/>
            <a:ext cx="539260" cy="531557"/>
          </a:xfrm>
          <a:prstGeom prst="rect">
            <a:avLst/>
          </a:prstGeom>
        </xdr:spPr>
      </xdr:pic>
    </xdr:grpSp>
    <xdr:clientData/>
  </xdr:twoCellAnchor>
  <xdr:twoCellAnchor editAs="oneCell">
    <xdr:from>
      <xdr:col>1</xdr:col>
      <xdr:colOff>5064369</xdr:colOff>
      <xdr:row>1</xdr:row>
      <xdr:rowOff>222738</xdr:rowOff>
    </xdr:from>
    <xdr:to>
      <xdr:col>1</xdr:col>
      <xdr:colOff>5673968</xdr:colOff>
      <xdr:row>1</xdr:row>
      <xdr:rowOff>832337</xdr:rowOff>
    </xdr:to>
    <xdr:pic>
      <xdr:nvPicPr>
        <xdr:cNvPr id="3" name="Graphic 2" descr="Barcode outline">
          <a:extLst>
            <a:ext uri="{FF2B5EF4-FFF2-40B4-BE49-F238E27FC236}">
              <a16:creationId xmlns:a16="http://schemas.microsoft.com/office/drawing/2014/main" id="{272FA490-6700-7F4C-9D79-2C6926C4255F}"/>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357446" y="410307"/>
          <a:ext cx="609599" cy="6095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57152</xdr:colOff>
      <xdr:row>3</xdr:row>
      <xdr:rowOff>133351</xdr:rowOff>
    </xdr:from>
    <xdr:to>
      <xdr:col>2</xdr:col>
      <xdr:colOff>1752600</xdr:colOff>
      <xdr:row>9</xdr:row>
      <xdr:rowOff>971550</xdr:rowOff>
    </xdr:to>
    <xdr:sp macro="" textlink="">
      <xdr:nvSpPr>
        <xdr:cNvPr id="149" name="Rectangle: Rounded Corners 148">
          <a:extLst>
            <a:ext uri="{FF2B5EF4-FFF2-40B4-BE49-F238E27FC236}">
              <a16:creationId xmlns:a16="http://schemas.microsoft.com/office/drawing/2014/main" id="{5FA625CB-BACA-46E4-B875-EE83AC88E5DD}"/>
            </a:ext>
          </a:extLst>
        </xdr:cNvPr>
        <xdr:cNvSpPr/>
      </xdr:nvSpPr>
      <xdr:spPr>
        <a:xfrm>
          <a:off x="495302" y="1638301"/>
          <a:ext cx="1695448" cy="6857999"/>
        </a:xfrm>
        <a:prstGeom prst="roundRect">
          <a:avLst>
            <a:gd name="adj" fmla="val 11510"/>
          </a:avLst>
        </a:prstGeom>
        <a:solidFill>
          <a:srgbClr val="DEEBF7">
            <a:alpha val="49804"/>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en-GB" sz="1600" b="0" i="0" u="none" baseline="0">
            <a:solidFill>
              <a:srgbClr val="993300"/>
            </a:solidFill>
            <a:effectLst/>
            <a:latin typeface="+mn-lt"/>
            <a:ea typeface="+mn-ea"/>
            <a:cs typeface="+mn-cs"/>
          </a:endParaRPr>
        </a:p>
        <a:p>
          <a:r>
            <a:rPr lang="en-GB" sz="1600" b="1" i="0" u="none" baseline="0">
              <a:solidFill>
                <a:srgbClr val="993300"/>
              </a:solidFill>
              <a:effectLst/>
              <a:latin typeface="+mn-lt"/>
              <a:ea typeface="+mn-ea"/>
              <a:cs typeface="+mn-cs"/>
            </a:rPr>
            <a:t>	</a:t>
          </a:r>
        </a:p>
        <a:p>
          <a:endParaRPr lang="en-GB" sz="1600" b="1" i="0" u="none" baseline="0">
            <a:solidFill>
              <a:srgbClr val="993300"/>
            </a:solidFill>
            <a:effectLst/>
            <a:latin typeface="+mn-lt"/>
            <a:ea typeface="+mn-ea"/>
            <a:cs typeface="+mn-cs"/>
          </a:endParaRPr>
        </a:p>
        <a:p>
          <a:r>
            <a:rPr lang="en-GB" sz="1600" b="0" i="0" u="none" baseline="0">
              <a:solidFill>
                <a:srgbClr val="993300"/>
              </a:solidFill>
              <a:effectLst/>
              <a:latin typeface="+mn-lt"/>
              <a:ea typeface="+mn-ea"/>
              <a:cs typeface="+mn-cs"/>
            </a:rPr>
            <a:t>  </a:t>
          </a:r>
        </a:p>
        <a:p>
          <a:pPr marL="0" indent="0" algn="l"/>
          <a:endParaRPr lang="en-GB" sz="1600" b="0" i="0" u="none">
            <a:solidFill>
              <a:srgbClr val="993300"/>
            </a:solidFill>
            <a:effectLst/>
            <a:latin typeface="+mn-lt"/>
            <a:ea typeface="+mn-ea"/>
            <a:cs typeface="+mn-cs"/>
          </a:endParaRPr>
        </a:p>
        <a:p>
          <a:pPr marL="0" indent="0" algn="l"/>
          <a:endParaRPr lang="en-GB" sz="1400" b="0">
            <a:solidFill>
              <a:srgbClr val="993300"/>
            </a:solidFill>
            <a:effectLst/>
            <a:latin typeface="+mn-lt"/>
            <a:ea typeface="+mn-ea"/>
            <a:cs typeface="+mn-cs"/>
          </a:endParaRPr>
        </a:p>
      </xdr:txBody>
    </xdr:sp>
    <xdr:clientData/>
  </xdr:twoCellAnchor>
  <xdr:twoCellAnchor editAs="oneCell">
    <xdr:from>
      <xdr:col>2</xdr:col>
      <xdr:colOff>470974</xdr:colOff>
      <xdr:row>4</xdr:row>
      <xdr:rowOff>662062</xdr:rowOff>
    </xdr:from>
    <xdr:to>
      <xdr:col>2</xdr:col>
      <xdr:colOff>1463724</xdr:colOff>
      <xdr:row>6</xdr:row>
      <xdr:rowOff>51815</xdr:rowOff>
    </xdr:to>
    <xdr:pic>
      <xdr:nvPicPr>
        <xdr:cNvPr id="2" name="Graphic 1" descr="Bus with solid fill">
          <a:extLst>
            <a:ext uri="{FF2B5EF4-FFF2-40B4-BE49-F238E27FC236}">
              <a16:creationId xmlns:a16="http://schemas.microsoft.com/office/drawing/2014/main" id="{5D9F4934-D092-41C1-ABBA-467309E2C6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46112" y="3170800"/>
          <a:ext cx="992750" cy="998225"/>
        </a:xfrm>
        <a:prstGeom prst="rect">
          <a:avLst/>
        </a:prstGeom>
      </xdr:spPr>
    </xdr:pic>
    <xdr:clientData/>
  </xdr:twoCellAnchor>
  <xdr:twoCellAnchor editAs="oneCell">
    <xdr:from>
      <xdr:col>2</xdr:col>
      <xdr:colOff>444303</xdr:colOff>
      <xdr:row>6</xdr:row>
      <xdr:rowOff>492371</xdr:rowOff>
    </xdr:from>
    <xdr:to>
      <xdr:col>2</xdr:col>
      <xdr:colOff>1418492</xdr:colOff>
      <xdr:row>7</xdr:row>
      <xdr:rowOff>141186</xdr:rowOff>
    </xdr:to>
    <xdr:pic>
      <xdr:nvPicPr>
        <xdr:cNvPr id="3" name="Graphic 2" descr="Train with solid fill">
          <a:extLst>
            <a:ext uri="{FF2B5EF4-FFF2-40B4-BE49-F238E27FC236}">
              <a16:creationId xmlns:a16="http://schemas.microsoft.com/office/drawing/2014/main" id="{AEF5B12F-2673-4F09-85F5-5815DDA2395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10063" y="3967091"/>
          <a:ext cx="974189" cy="1020415"/>
        </a:xfrm>
        <a:prstGeom prst="rect">
          <a:avLst/>
        </a:prstGeom>
      </xdr:spPr>
    </xdr:pic>
    <xdr:clientData/>
  </xdr:twoCellAnchor>
  <xdr:twoCellAnchor>
    <xdr:from>
      <xdr:col>2</xdr:col>
      <xdr:colOff>257908</xdr:colOff>
      <xdr:row>7</xdr:row>
      <xdr:rowOff>427857</xdr:rowOff>
    </xdr:from>
    <xdr:to>
      <xdr:col>2</xdr:col>
      <xdr:colOff>1740370</xdr:colOff>
      <xdr:row>8</xdr:row>
      <xdr:rowOff>433754</xdr:rowOff>
    </xdr:to>
    <xdr:pic>
      <xdr:nvPicPr>
        <xdr:cNvPr id="7" name="Graphic 6" descr="Cruise ship with solid fill">
          <a:extLst>
            <a:ext uri="{FF2B5EF4-FFF2-40B4-BE49-F238E27FC236}">
              <a16:creationId xmlns:a16="http://schemas.microsoft.com/office/drawing/2014/main" id="{135E566F-F54A-1FC8-2EED-6D664280AD7C}"/>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23668" y="5472297"/>
          <a:ext cx="1482462" cy="1026977"/>
        </a:xfrm>
        <a:prstGeom prst="rect">
          <a:avLst/>
        </a:prstGeom>
      </xdr:spPr>
    </xdr:pic>
    <xdr:clientData/>
  </xdr:twoCellAnchor>
  <xdr:twoCellAnchor>
    <xdr:from>
      <xdr:col>2</xdr:col>
      <xdr:colOff>455676</xdr:colOff>
      <xdr:row>9</xdr:row>
      <xdr:rowOff>650558</xdr:rowOff>
    </xdr:from>
    <xdr:to>
      <xdr:col>2</xdr:col>
      <xdr:colOff>1151001</xdr:colOff>
      <xdr:row>9</xdr:row>
      <xdr:rowOff>876936</xdr:rowOff>
    </xdr:to>
    <xdr:sp macro="" textlink="">
      <xdr:nvSpPr>
        <xdr:cNvPr id="8" name="Rectangle 7">
          <a:extLst>
            <a:ext uri="{FF2B5EF4-FFF2-40B4-BE49-F238E27FC236}">
              <a16:creationId xmlns:a16="http://schemas.microsoft.com/office/drawing/2014/main" id="{85358494-6350-0F81-4540-E8A02DA54AF3}"/>
            </a:ext>
          </a:extLst>
        </xdr:cNvPr>
        <xdr:cNvSpPr/>
      </xdr:nvSpPr>
      <xdr:spPr>
        <a:xfrm>
          <a:off x="851916" y="7904798"/>
          <a:ext cx="695325" cy="226378"/>
        </a:xfrm>
        <a:prstGeom prst="rect">
          <a:avLst/>
        </a:prstGeom>
        <a:solidFill>
          <a:srgbClr val="EFF5F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281256</xdr:colOff>
      <xdr:row>8</xdr:row>
      <xdr:rowOff>626546</xdr:rowOff>
    </xdr:from>
    <xdr:to>
      <xdr:col>2</xdr:col>
      <xdr:colOff>1469672</xdr:colOff>
      <xdr:row>9</xdr:row>
      <xdr:rowOff>827646</xdr:rowOff>
    </xdr:to>
    <xdr:pic>
      <xdr:nvPicPr>
        <xdr:cNvPr id="26" name="Graphic 25" descr="Electric car with solid fill">
          <a:extLst>
            <a:ext uri="{FF2B5EF4-FFF2-40B4-BE49-F238E27FC236}">
              <a16:creationId xmlns:a16="http://schemas.microsoft.com/office/drawing/2014/main" id="{2E2EED3E-32D1-4AB5-BFCD-B9316AEA4A3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719406" y="7141646"/>
          <a:ext cx="1188416" cy="1210750"/>
        </a:xfrm>
        <a:prstGeom prst="rect">
          <a:avLst/>
        </a:prstGeom>
      </xdr:spPr>
    </xdr:pic>
    <xdr:clientData/>
  </xdr:twoCellAnchor>
  <xdr:twoCellAnchor editAs="oneCell">
    <xdr:from>
      <xdr:col>4</xdr:col>
      <xdr:colOff>1379220</xdr:colOff>
      <xdr:row>12</xdr:row>
      <xdr:rowOff>342900</xdr:rowOff>
    </xdr:from>
    <xdr:to>
      <xdr:col>4</xdr:col>
      <xdr:colOff>1761308</xdr:colOff>
      <xdr:row>12</xdr:row>
      <xdr:rowOff>778328</xdr:rowOff>
    </xdr:to>
    <xdr:pic>
      <xdr:nvPicPr>
        <xdr:cNvPr id="142" name="Graphic 141" descr="Cycling with solid fill">
          <a:extLst>
            <a:ext uri="{FF2B5EF4-FFF2-40B4-BE49-F238E27FC236}">
              <a16:creationId xmlns:a16="http://schemas.microsoft.com/office/drawing/2014/main" id="{4E453F04-FA2F-4EFF-B0F0-EF1604B1E06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6515100" y="9471660"/>
          <a:ext cx="382088" cy="435428"/>
        </a:xfrm>
        <a:prstGeom prst="rect">
          <a:avLst/>
        </a:prstGeom>
      </xdr:spPr>
    </xdr:pic>
    <xdr:clientData/>
  </xdr:twoCellAnchor>
  <xdr:twoCellAnchor>
    <xdr:from>
      <xdr:col>6</xdr:col>
      <xdr:colOff>846161</xdr:colOff>
      <xdr:row>93</xdr:row>
      <xdr:rowOff>121920</xdr:rowOff>
    </xdr:from>
    <xdr:to>
      <xdr:col>6</xdr:col>
      <xdr:colOff>1553366</xdr:colOff>
      <xdr:row>93</xdr:row>
      <xdr:rowOff>894705</xdr:rowOff>
    </xdr:to>
    <xdr:pic>
      <xdr:nvPicPr>
        <xdr:cNvPr id="144" name="Graphic 143" descr="Cruise ship with solid fill">
          <a:extLst>
            <a:ext uri="{FF2B5EF4-FFF2-40B4-BE49-F238E27FC236}">
              <a16:creationId xmlns:a16="http://schemas.microsoft.com/office/drawing/2014/main" id="{7C38108E-B8DE-EE7A-4C18-AE4A127DFBC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2435649" y="71236013"/>
          <a:ext cx="707205" cy="772785"/>
        </a:xfrm>
        <a:prstGeom prst="rect">
          <a:avLst/>
        </a:prstGeom>
      </xdr:spPr>
    </xdr:pic>
    <xdr:clientData/>
  </xdr:twoCellAnchor>
  <xdr:twoCellAnchor>
    <xdr:from>
      <xdr:col>6</xdr:col>
      <xdr:colOff>901937</xdr:colOff>
      <xdr:row>93</xdr:row>
      <xdr:rowOff>230962</xdr:rowOff>
    </xdr:from>
    <xdr:to>
      <xdr:col>6</xdr:col>
      <xdr:colOff>1196607</xdr:colOff>
      <xdr:row>93</xdr:row>
      <xdr:rowOff>400050</xdr:rowOff>
    </xdr:to>
    <xdr:sp macro="" textlink="">
      <xdr:nvSpPr>
        <xdr:cNvPr id="145" name="Rectangle 144">
          <a:extLst>
            <a:ext uri="{FF2B5EF4-FFF2-40B4-BE49-F238E27FC236}">
              <a16:creationId xmlns:a16="http://schemas.microsoft.com/office/drawing/2014/main" id="{007C1FB6-CB66-D699-A1B9-9D3B76B4D63D}"/>
            </a:ext>
          </a:extLst>
        </xdr:cNvPr>
        <xdr:cNvSpPr/>
      </xdr:nvSpPr>
      <xdr:spPr>
        <a:xfrm>
          <a:off x="12491425" y="71345055"/>
          <a:ext cx="294670" cy="169088"/>
        </a:xfrm>
        <a:prstGeom prst="rect">
          <a:avLst/>
        </a:prstGeom>
        <a:solidFill>
          <a:srgbClr val="01474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615754</xdr:colOff>
      <xdr:row>3</xdr:row>
      <xdr:rowOff>573451</xdr:rowOff>
    </xdr:from>
    <xdr:to>
      <xdr:col>2</xdr:col>
      <xdr:colOff>1395046</xdr:colOff>
      <xdr:row>5</xdr:row>
      <xdr:rowOff>80601</xdr:rowOff>
    </xdr:to>
    <xdr:pic>
      <xdr:nvPicPr>
        <xdr:cNvPr id="147" name="Graphic 146" descr="Cycling with solid fill">
          <a:extLst>
            <a:ext uri="{FF2B5EF4-FFF2-40B4-BE49-F238E27FC236}">
              <a16:creationId xmlns:a16="http://schemas.microsoft.com/office/drawing/2014/main" id="{AA8B4526-48CF-4EE6-9B48-391272FB4A84}"/>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981514" y="2112691"/>
          <a:ext cx="779292" cy="787310"/>
        </a:xfrm>
        <a:prstGeom prst="rect">
          <a:avLst/>
        </a:prstGeom>
      </xdr:spPr>
    </xdr:pic>
    <xdr:clientData/>
  </xdr:twoCellAnchor>
  <xdr:twoCellAnchor>
    <xdr:from>
      <xdr:col>2</xdr:col>
      <xdr:colOff>1748791</xdr:colOff>
      <xdr:row>3</xdr:row>
      <xdr:rowOff>609600</xdr:rowOff>
    </xdr:from>
    <xdr:to>
      <xdr:col>5</xdr:col>
      <xdr:colOff>2492042</xdr:colOff>
      <xdr:row>4</xdr:row>
      <xdr:rowOff>548640</xdr:rowOff>
    </xdr:to>
    <xdr:sp macro="" textlink="">
      <xdr:nvSpPr>
        <xdr:cNvPr id="152" name="Rectangle: Rounded Corners 151">
          <a:extLst>
            <a:ext uri="{FF2B5EF4-FFF2-40B4-BE49-F238E27FC236}">
              <a16:creationId xmlns:a16="http://schemas.microsoft.com/office/drawing/2014/main" id="{474BF0C8-77F4-4D7E-B585-73C301D95B83}"/>
            </a:ext>
          </a:extLst>
        </xdr:cNvPr>
        <xdr:cNvSpPr/>
      </xdr:nvSpPr>
      <xdr:spPr>
        <a:xfrm>
          <a:off x="2114551" y="2148840"/>
          <a:ext cx="8668051" cy="579120"/>
        </a:xfrm>
        <a:prstGeom prst="roundRect">
          <a:avLst>
            <a:gd name="adj" fmla="val 11510"/>
          </a:avLst>
        </a:prstGeom>
        <a:solidFill>
          <a:schemeClr val="accent5">
            <a:lumMod val="20000"/>
            <a:lumOff val="80000"/>
            <a:alpha val="5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800" b="0" i="0" u="none" baseline="0">
              <a:solidFill>
                <a:srgbClr val="014744"/>
              </a:solidFill>
              <a:effectLst/>
              <a:latin typeface="Aptos" panose="020B0004020202020204" pitchFamily="34" charset="0"/>
              <a:ea typeface="+mn-ea"/>
              <a:cs typeface="+mn-cs"/>
            </a:rPr>
            <a:t>IC1_Projetos de micromobilidade</a:t>
          </a:r>
        </a:p>
        <a:p>
          <a:endParaRPr lang="en-GB" sz="1600" b="0" i="0" u="none" baseline="0">
            <a:solidFill>
              <a:srgbClr val="014744"/>
            </a:solidFill>
            <a:effectLst/>
            <a:latin typeface="+mn-lt"/>
            <a:ea typeface="+mn-ea"/>
            <a:cs typeface="+mn-cs"/>
          </a:endParaRPr>
        </a:p>
        <a:p>
          <a:r>
            <a:rPr lang="en-GB" sz="1600" b="1" i="0" u="none" baseline="0">
              <a:solidFill>
                <a:srgbClr val="014744"/>
              </a:solidFill>
              <a:effectLst/>
              <a:latin typeface="+mn-lt"/>
              <a:ea typeface="+mn-ea"/>
              <a:cs typeface="+mn-cs"/>
            </a:rPr>
            <a:t>	</a:t>
          </a:r>
        </a:p>
        <a:p>
          <a:endParaRPr lang="en-GB" sz="1600" b="1" i="0" u="none" baseline="0">
            <a:solidFill>
              <a:srgbClr val="014744"/>
            </a:solidFill>
            <a:effectLst/>
            <a:latin typeface="+mn-lt"/>
            <a:ea typeface="+mn-ea"/>
            <a:cs typeface="+mn-cs"/>
          </a:endParaRPr>
        </a:p>
        <a:p>
          <a:r>
            <a:rPr lang="en-GB" sz="1600" b="0" i="0" u="none" baseline="0">
              <a:solidFill>
                <a:srgbClr val="014744"/>
              </a:solidFill>
              <a:effectLst/>
              <a:latin typeface="+mn-lt"/>
              <a:ea typeface="+mn-ea"/>
              <a:cs typeface="+mn-cs"/>
            </a:rPr>
            <a:t>  </a:t>
          </a:r>
        </a:p>
        <a:p>
          <a:pPr marL="0" indent="0" algn="l"/>
          <a:endParaRPr lang="en-GB" sz="1600" b="0" i="0" u="none">
            <a:solidFill>
              <a:srgbClr val="014744"/>
            </a:solidFill>
            <a:effectLst/>
            <a:latin typeface="+mn-lt"/>
            <a:ea typeface="+mn-ea"/>
            <a:cs typeface="+mn-cs"/>
          </a:endParaRPr>
        </a:p>
        <a:p>
          <a:pPr marL="0" indent="0" algn="l"/>
          <a:endParaRPr lang="en-GB" sz="1400" b="0">
            <a:solidFill>
              <a:srgbClr val="014744"/>
            </a:solidFill>
            <a:effectLst/>
            <a:latin typeface="+mn-lt"/>
            <a:ea typeface="+mn-ea"/>
            <a:cs typeface="+mn-cs"/>
          </a:endParaRPr>
        </a:p>
      </xdr:txBody>
    </xdr:sp>
    <xdr:clientData/>
  </xdr:twoCellAnchor>
  <xdr:twoCellAnchor>
    <xdr:from>
      <xdr:col>2</xdr:col>
      <xdr:colOff>1744981</xdr:colOff>
      <xdr:row>5</xdr:row>
      <xdr:rowOff>282239</xdr:rowOff>
    </xdr:from>
    <xdr:to>
      <xdr:col>5</xdr:col>
      <xdr:colOff>2491740</xdr:colOff>
      <xdr:row>6</xdr:row>
      <xdr:rowOff>33867</xdr:rowOff>
    </xdr:to>
    <xdr:sp macro="" textlink="">
      <xdr:nvSpPr>
        <xdr:cNvPr id="153" name="Rectangle: Rounded Corners 152">
          <a:extLst>
            <a:ext uri="{FF2B5EF4-FFF2-40B4-BE49-F238E27FC236}">
              <a16:creationId xmlns:a16="http://schemas.microsoft.com/office/drawing/2014/main" id="{C54E5B02-DB6C-4CE2-8277-84E7C672E787}"/>
            </a:ext>
          </a:extLst>
        </xdr:cNvPr>
        <xdr:cNvSpPr/>
      </xdr:nvSpPr>
      <xdr:spPr>
        <a:xfrm>
          <a:off x="2185248" y="3059306"/>
          <a:ext cx="8654625" cy="682961"/>
        </a:xfrm>
        <a:prstGeom prst="roundRect">
          <a:avLst>
            <a:gd name="adj" fmla="val 11510"/>
          </a:avLst>
        </a:prstGeom>
        <a:solidFill>
          <a:schemeClr val="accent5">
            <a:lumMod val="20000"/>
            <a:lumOff val="80000"/>
            <a:alpha val="5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800" b="0" i="0" u="none" baseline="0">
              <a:solidFill>
                <a:srgbClr val="014744"/>
              </a:solidFill>
              <a:effectLst/>
              <a:latin typeface="Aptos" panose="020B0004020202020204" pitchFamily="34" charset="0"/>
              <a:ea typeface="+mn-ea"/>
              <a:cs typeface="+mn-cs"/>
            </a:rPr>
            <a:t>IC2_Projetos de transporte rodoviário de passageiros</a:t>
          </a:r>
        </a:p>
        <a:p>
          <a:endParaRPr lang="en-GB" sz="1600" b="0" i="0" u="none" baseline="0">
            <a:solidFill>
              <a:srgbClr val="014744"/>
            </a:solidFill>
            <a:effectLst/>
            <a:latin typeface="+mn-lt"/>
            <a:ea typeface="+mn-ea"/>
            <a:cs typeface="+mn-cs"/>
          </a:endParaRPr>
        </a:p>
        <a:p>
          <a:r>
            <a:rPr lang="en-GB" sz="1600" b="1" i="0" u="none" baseline="0">
              <a:solidFill>
                <a:srgbClr val="014744"/>
              </a:solidFill>
              <a:effectLst/>
              <a:latin typeface="+mn-lt"/>
              <a:ea typeface="+mn-ea"/>
              <a:cs typeface="+mn-cs"/>
            </a:rPr>
            <a:t>	</a:t>
          </a:r>
        </a:p>
        <a:p>
          <a:endParaRPr lang="en-GB" sz="1600" b="1" i="0" u="none" baseline="0">
            <a:solidFill>
              <a:srgbClr val="014744"/>
            </a:solidFill>
            <a:effectLst/>
            <a:latin typeface="+mn-lt"/>
            <a:ea typeface="+mn-ea"/>
            <a:cs typeface="+mn-cs"/>
          </a:endParaRPr>
        </a:p>
        <a:p>
          <a:r>
            <a:rPr lang="en-GB" sz="1600" b="0" i="0" u="none" baseline="0">
              <a:solidFill>
                <a:srgbClr val="014744"/>
              </a:solidFill>
              <a:effectLst/>
              <a:latin typeface="+mn-lt"/>
              <a:ea typeface="+mn-ea"/>
              <a:cs typeface="+mn-cs"/>
            </a:rPr>
            <a:t>  </a:t>
          </a:r>
        </a:p>
        <a:p>
          <a:pPr marL="0" indent="0" algn="l"/>
          <a:endParaRPr lang="en-GB" sz="1600" b="0" i="0" u="none">
            <a:solidFill>
              <a:srgbClr val="014744"/>
            </a:solidFill>
            <a:effectLst/>
            <a:latin typeface="+mn-lt"/>
            <a:ea typeface="+mn-ea"/>
            <a:cs typeface="+mn-cs"/>
          </a:endParaRPr>
        </a:p>
        <a:p>
          <a:pPr marL="0" indent="0" algn="l"/>
          <a:endParaRPr lang="en-GB" sz="1400" b="0">
            <a:solidFill>
              <a:srgbClr val="014744"/>
            </a:solidFill>
            <a:effectLst/>
            <a:latin typeface="+mn-lt"/>
            <a:ea typeface="+mn-ea"/>
            <a:cs typeface="+mn-cs"/>
          </a:endParaRPr>
        </a:p>
      </xdr:txBody>
    </xdr:sp>
    <xdr:clientData/>
  </xdr:twoCellAnchor>
  <xdr:twoCellAnchor>
    <xdr:from>
      <xdr:col>2</xdr:col>
      <xdr:colOff>1722121</xdr:colOff>
      <xdr:row>6</xdr:row>
      <xdr:rowOff>712769</xdr:rowOff>
    </xdr:from>
    <xdr:to>
      <xdr:col>5</xdr:col>
      <xdr:colOff>2468880</xdr:colOff>
      <xdr:row>6</xdr:row>
      <xdr:rowOff>1325880</xdr:rowOff>
    </xdr:to>
    <xdr:sp macro="" textlink="">
      <xdr:nvSpPr>
        <xdr:cNvPr id="154" name="Rectangle: Rounded Corners 153">
          <a:extLst>
            <a:ext uri="{FF2B5EF4-FFF2-40B4-BE49-F238E27FC236}">
              <a16:creationId xmlns:a16="http://schemas.microsoft.com/office/drawing/2014/main" id="{F973D080-49AE-4943-9C15-7FBE6C430CD6}"/>
            </a:ext>
          </a:extLst>
        </xdr:cNvPr>
        <xdr:cNvSpPr/>
      </xdr:nvSpPr>
      <xdr:spPr>
        <a:xfrm>
          <a:off x="2087881" y="4187489"/>
          <a:ext cx="8671559" cy="613111"/>
        </a:xfrm>
        <a:prstGeom prst="roundRect">
          <a:avLst>
            <a:gd name="adj" fmla="val 11510"/>
          </a:avLst>
        </a:prstGeom>
        <a:solidFill>
          <a:schemeClr val="accent5">
            <a:lumMod val="20000"/>
            <a:lumOff val="80000"/>
            <a:alpha val="5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800" b="0" i="0" u="none" baseline="0">
              <a:solidFill>
                <a:srgbClr val="014744"/>
              </a:solidFill>
              <a:effectLst/>
              <a:latin typeface="Aptos" panose="020B0004020202020204" pitchFamily="34" charset="0"/>
              <a:ea typeface="+mn-ea"/>
              <a:cs typeface="+mn-cs"/>
            </a:rPr>
            <a:t>IC3_Projetos de transporte ferroviário de passageiros</a:t>
          </a:r>
        </a:p>
        <a:p>
          <a:endParaRPr lang="en-GB" sz="1600" b="0" i="0" u="none" baseline="0">
            <a:solidFill>
              <a:srgbClr val="014744"/>
            </a:solidFill>
            <a:effectLst/>
            <a:latin typeface="+mn-lt"/>
            <a:ea typeface="+mn-ea"/>
            <a:cs typeface="+mn-cs"/>
          </a:endParaRPr>
        </a:p>
        <a:p>
          <a:r>
            <a:rPr lang="en-GB" sz="1600" b="1" i="0" u="none" baseline="0">
              <a:solidFill>
                <a:srgbClr val="014744"/>
              </a:solidFill>
              <a:effectLst/>
              <a:latin typeface="+mn-lt"/>
              <a:ea typeface="+mn-ea"/>
              <a:cs typeface="+mn-cs"/>
            </a:rPr>
            <a:t>	</a:t>
          </a:r>
        </a:p>
        <a:p>
          <a:endParaRPr lang="en-GB" sz="1600" b="1" i="0" u="none" baseline="0">
            <a:solidFill>
              <a:srgbClr val="014744"/>
            </a:solidFill>
            <a:effectLst/>
            <a:latin typeface="+mn-lt"/>
            <a:ea typeface="+mn-ea"/>
            <a:cs typeface="+mn-cs"/>
          </a:endParaRPr>
        </a:p>
        <a:p>
          <a:r>
            <a:rPr lang="en-GB" sz="1600" b="0" i="0" u="none" baseline="0">
              <a:solidFill>
                <a:srgbClr val="014744"/>
              </a:solidFill>
              <a:effectLst/>
              <a:latin typeface="+mn-lt"/>
              <a:ea typeface="+mn-ea"/>
              <a:cs typeface="+mn-cs"/>
            </a:rPr>
            <a:t>  </a:t>
          </a:r>
        </a:p>
        <a:p>
          <a:pPr marL="0" indent="0" algn="l"/>
          <a:endParaRPr lang="en-GB" sz="1600" b="0" i="0" u="none">
            <a:solidFill>
              <a:srgbClr val="014744"/>
            </a:solidFill>
            <a:effectLst/>
            <a:latin typeface="+mn-lt"/>
            <a:ea typeface="+mn-ea"/>
            <a:cs typeface="+mn-cs"/>
          </a:endParaRPr>
        </a:p>
        <a:p>
          <a:pPr marL="0" indent="0" algn="l"/>
          <a:endParaRPr lang="en-GB" sz="1400" b="0">
            <a:solidFill>
              <a:srgbClr val="014744"/>
            </a:solidFill>
            <a:effectLst/>
            <a:latin typeface="+mn-lt"/>
            <a:ea typeface="+mn-ea"/>
            <a:cs typeface="+mn-cs"/>
          </a:endParaRPr>
        </a:p>
      </xdr:txBody>
    </xdr:sp>
    <xdr:clientData/>
  </xdr:twoCellAnchor>
  <xdr:twoCellAnchor>
    <xdr:from>
      <xdr:col>2</xdr:col>
      <xdr:colOff>1725930</xdr:colOff>
      <xdr:row>7</xdr:row>
      <xdr:rowOff>468929</xdr:rowOff>
    </xdr:from>
    <xdr:to>
      <xdr:col>5</xdr:col>
      <xdr:colOff>2455151</xdr:colOff>
      <xdr:row>8</xdr:row>
      <xdr:rowOff>152400</xdr:rowOff>
    </xdr:to>
    <xdr:sp macro="" textlink="">
      <xdr:nvSpPr>
        <xdr:cNvPr id="155" name="Rectangle: Rounded Corners 154">
          <a:extLst>
            <a:ext uri="{FF2B5EF4-FFF2-40B4-BE49-F238E27FC236}">
              <a16:creationId xmlns:a16="http://schemas.microsoft.com/office/drawing/2014/main" id="{6497491E-3947-4BED-8A7E-84782D3BCBEB}"/>
            </a:ext>
          </a:extLst>
        </xdr:cNvPr>
        <xdr:cNvSpPr/>
      </xdr:nvSpPr>
      <xdr:spPr>
        <a:xfrm>
          <a:off x="2164080" y="5536229"/>
          <a:ext cx="8825471" cy="1131271"/>
        </a:xfrm>
        <a:prstGeom prst="roundRect">
          <a:avLst>
            <a:gd name="adj" fmla="val 11510"/>
          </a:avLst>
        </a:prstGeom>
        <a:solidFill>
          <a:schemeClr val="accent5">
            <a:lumMod val="20000"/>
            <a:lumOff val="80000"/>
            <a:alpha val="5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800" b="0" i="0" u="none" baseline="0">
              <a:solidFill>
                <a:srgbClr val="014744"/>
              </a:solidFill>
              <a:effectLst/>
              <a:latin typeface="Aptos" panose="020B0004020202020204" pitchFamily="34" charset="0"/>
              <a:ea typeface="+mn-ea"/>
              <a:cs typeface="+mn-cs"/>
            </a:rPr>
            <a:t>IC4_Projetos de transporte de passageiros em vias navegáveis interiores</a:t>
          </a:r>
        </a:p>
        <a:p>
          <a:endParaRPr lang="en-GB" sz="1600" b="0" i="0" u="none" baseline="0">
            <a:solidFill>
              <a:srgbClr val="014744"/>
            </a:solidFill>
            <a:effectLst/>
            <a:latin typeface="+mn-lt"/>
            <a:ea typeface="+mn-ea"/>
            <a:cs typeface="+mn-cs"/>
          </a:endParaRPr>
        </a:p>
        <a:p>
          <a:r>
            <a:rPr lang="en-GB" sz="1600" b="1" i="0" u="none" baseline="0">
              <a:solidFill>
                <a:srgbClr val="014744"/>
              </a:solidFill>
              <a:effectLst/>
              <a:latin typeface="+mn-lt"/>
              <a:ea typeface="+mn-ea"/>
              <a:cs typeface="+mn-cs"/>
            </a:rPr>
            <a:t>	</a:t>
          </a:r>
        </a:p>
        <a:p>
          <a:endParaRPr lang="en-GB" sz="1600" b="1" i="0" u="none" baseline="0">
            <a:solidFill>
              <a:srgbClr val="014744"/>
            </a:solidFill>
            <a:effectLst/>
            <a:latin typeface="+mn-lt"/>
            <a:ea typeface="+mn-ea"/>
            <a:cs typeface="+mn-cs"/>
          </a:endParaRPr>
        </a:p>
        <a:p>
          <a:r>
            <a:rPr lang="en-GB" sz="1600" b="0" i="0" u="none" baseline="0">
              <a:solidFill>
                <a:srgbClr val="014744"/>
              </a:solidFill>
              <a:effectLst/>
              <a:latin typeface="+mn-lt"/>
              <a:ea typeface="+mn-ea"/>
              <a:cs typeface="+mn-cs"/>
            </a:rPr>
            <a:t>  </a:t>
          </a:r>
        </a:p>
        <a:p>
          <a:pPr marL="0" indent="0" algn="l"/>
          <a:endParaRPr lang="en-GB" sz="1600" b="0" i="0" u="none">
            <a:solidFill>
              <a:srgbClr val="014744"/>
            </a:solidFill>
            <a:effectLst/>
            <a:latin typeface="+mn-lt"/>
            <a:ea typeface="+mn-ea"/>
            <a:cs typeface="+mn-cs"/>
          </a:endParaRPr>
        </a:p>
        <a:p>
          <a:pPr marL="0" indent="0" algn="l"/>
          <a:endParaRPr lang="en-GB" sz="1400" b="0">
            <a:solidFill>
              <a:srgbClr val="014744"/>
            </a:solidFill>
            <a:effectLst/>
            <a:latin typeface="+mn-lt"/>
            <a:ea typeface="+mn-ea"/>
            <a:cs typeface="+mn-cs"/>
          </a:endParaRPr>
        </a:p>
      </xdr:txBody>
    </xdr:sp>
    <xdr:clientData/>
  </xdr:twoCellAnchor>
  <xdr:twoCellAnchor>
    <xdr:from>
      <xdr:col>2</xdr:col>
      <xdr:colOff>1714502</xdr:colOff>
      <xdr:row>8</xdr:row>
      <xdr:rowOff>788968</xdr:rowOff>
    </xdr:from>
    <xdr:to>
      <xdr:col>5</xdr:col>
      <xdr:colOff>2454246</xdr:colOff>
      <xdr:row>9</xdr:row>
      <xdr:rowOff>948988</xdr:rowOff>
    </xdr:to>
    <xdr:sp macro="" textlink="">
      <xdr:nvSpPr>
        <xdr:cNvPr id="156" name="Rectangle: Rounded Corners 155">
          <a:extLst>
            <a:ext uri="{FF2B5EF4-FFF2-40B4-BE49-F238E27FC236}">
              <a16:creationId xmlns:a16="http://schemas.microsoft.com/office/drawing/2014/main" id="{DA7C17DE-7627-47A9-A197-1D4CA5A9A38E}"/>
            </a:ext>
          </a:extLst>
        </xdr:cNvPr>
        <xdr:cNvSpPr/>
      </xdr:nvSpPr>
      <xdr:spPr>
        <a:xfrm>
          <a:off x="2152652" y="7304068"/>
          <a:ext cx="8835994" cy="1169670"/>
        </a:xfrm>
        <a:prstGeom prst="roundRect">
          <a:avLst>
            <a:gd name="adj" fmla="val 11510"/>
          </a:avLst>
        </a:prstGeom>
        <a:solidFill>
          <a:schemeClr val="accent5">
            <a:lumMod val="20000"/>
            <a:lumOff val="80000"/>
            <a:alpha val="5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800" b="0" i="0" u="none" baseline="0">
              <a:solidFill>
                <a:srgbClr val="014744"/>
              </a:solidFill>
              <a:effectLst/>
              <a:latin typeface="Aptos" panose="020B0004020202020204" pitchFamily="34" charset="0"/>
              <a:ea typeface="+mn-ea"/>
              <a:cs typeface="+mn-cs"/>
            </a:rPr>
            <a:t>IC5_Projetos de carregamento de veículos/ embarcações/ navios elétricos de passageiros </a:t>
          </a:r>
        </a:p>
        <a:p>
          <a:endParaRPr lang="en-GB" sz="1600" b="0" i="0" u="none" baseline="0">
            <a:solidFill>
              <a:srgbClr val="014744"/>
            </a:solidFill>
            <a:effectLst/>
            <a:latin typeface="+mn-lt"/>
            <a:ea typeface="+mn-ea"/>
            <a:cs typeface="+mn-cs"/>
          </a:endParaRPr>
        </a:p>
        <a:p>
          <a:r>
            <a:rPr lang="en-GB" sz="1600" b="1" i="0" u="none" baseline="0">
              <a:solidFill>
                <a:srgbClr val="014744"/>
              </a:solidFill>
              <a:effectLst/>
              <a:latin typeface="+mn-lt"/>
              <a:ea typeface="+mn-ea"/>
              <a:cs typeface="+mn-cs"/>
            </a:rPr>
            <a:t>	</a:t>
          </a:r>
        </a:p>
        <a:p>
          <a:endParaRPr lang="en-GB" sz="1600" b="1" i="0" u="none" baseline="0">
            <a:solidFill>
              <a:srgbClr val="014744"/>
            </a:solidFill>
            <a:effectLst/>
            <a:latin typeface="+mn-lt"/>
            <a:ea typeface="+mn-ea"/>
            <a:cs typeface="+mn-cs"/>
          </a:endParaRPr>
        </a:p>
        <a:p>
          <a:r>
            <a:rPr lang="en-GB" sz="1600" b="0" i="0" u="none" baseline="0">
              <a:solidFill>
                <a:srgbClr val="014744"/>
              </a:solidFill>
              <a:effectLst/>
              <a:latin typeface="+mn-lt"/>
              <a:ea typeface="+mn-ea"/>
              <a:cs typeface="+mn-cs"/>
            </a:rPr>
            <a:t>  </a:t>
          </a:r>
        </a:p>
        <a:p>
          <a:pPr marL="0" indent="0" algn="l"/>
          <a:endParaRPr lang="en-GB" sz="1600" b="0" i="0" u="none">
            <a:solidFill>
              <a:srgbClr val="014744"/>
            </a:solidFill>
            <a:effectLst/>
            <a:latin typeface="+mn-lt"/>
            <a:ea typeface="+mn-ea"/>
            <a:cs typeface="+mn-cs"/>
          </a:endParaRPr>
        </a:p>
        <a:p>
          <a:pPr marL="0" indent="0" algn="l"/>
          <a:endParaRPr lang="en-GB" sz="1400" b="0">
            <a:solidFill>
              <a:srgbClr val="014744"/>
            </a:solidFill>
            <a:effectLst/>
            <a:latin typeface="+mn-lt"/>
            <a:ea typeface="+mn-ea"/>
            <a:cs typeface="+mn-cs"/>
          </a:endParaRPr>
        </a:p>
      </xdr:txBody>
    </xdr:sp>
    <xdr:clientData/>
  </xdr:twoCellAnchor>
  <xdr:twoCellAnchor>
    <xdr:from>
      <xdr:col>5</xdr:col>
      <xdr:colOff>1172180</xdr:colOff>
      <xdr:row>110</xdr:row>
      <xdr:rowOff>208102</xdr:rowOff>
    </xdr:from>
    <xdr:to>
      <xdr:col>5</xdr:col>
      <xdr:colOff>1466850</xdr:colOff>
      <xdr:row>110</xdr:row>
      <xdr:rowOff>377190</xdr:rowOff>
    </xdr:to>
    <xdr:sp macro="" textlink="">
      <xdr:nvSpPr>
        <xdr:cNvPr id="180" name="Rectangle 179">
          <a:extLst>
            <a:ext uri="{FF2B5EF4-FFF2-40B4-BE49-F238E27FC236}">
              <a16:creationId xmlns:a16="http://schemas.microsoft.com/office/drawing/2014/main" id="{0428C17E-5D1A-469A-A182-E1C36A057BC7}"/>
            </a:ext>
          </a:extLst>
        </xdr:cNvPr>
        <xdr:cNvSpPr/>
      </xdr:nvSpPr>
      <xdr:spPr>
        <a:xfrm>
          <a:off x="9173180" y="116230222"/>
          <a:ext cx="294670" cy="169088"/>
        </a:xfrm>
        <a:prstGeom prst="rect">
          <a:avLst/>
        </a:prstGeom>
        <a:solidFill>
          <a:srgbClr val="01474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9</xdr:col>
      <xdr:colOff>637116</xdr:colOff>
      <xdr:row>110</xdr:row>
      <xdr:rowOff>106681</xdr:rowOff>
    </xdr:from>
    <xdr:to>
      <xdr:col>9</xdr:col>
      <xdr:colOff>1509606</xdr:colOff>
      <xdr:row>110</xdr:row>
      <xdr:rowOff>995832</xdr:rowOff>
    </xdr:to>
    <xdr:pic>
      <xdr:nvPicPr>
        <xdr:cNvPr id="181" name="Graphic 180" descr="Electric car with solid fill">
          <a:extLst>
            <a:ext uri="{FF2B5EF4-FFF2-40B4-BE49-F238E27FC236}">
              <a16:creationId xmlns:a16="http://schemas.microsoft.com/office/drawing/2014/main" id="{A4039FB3-B9DD-4815-AA39-B75DFB2BFD68}"/>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18434049" y="83232414"/>
          <a:ext cx="872490" cy="889151"/>
        </a:xfrm>
        <a:prstGeom prst="rect">
          <a:avLst/>
        </a:prstGeom>
      </xdr:spPr>
    </xdr:pic>
    <xdr:clientData/>
  </xdr:twoCellAnchor>
  <xdr:twoCellAnchor>
    <xdr:from>
      <xdr:col>11</xdr:col>
      <xdr:colOff>198120</xdr:colOff>
      <xdr:row>25</xdr:row>
      <xdr:rowOff>0</xdr:rowOff>
    </xdr:from>
    <xdr:to>
      <xdr:col>17</xdr:col>
      <xdr:colOff>133350</xdr:colOff>
      <xdr:row>33</xdr:row>
      <xdr:rowOff>742950</xdr:rowOff>
    </xdr:to>
    <xdr:graphicFrame macro="">
      <xdr:nvGraphicFramePr>
        <xdr:cNvPr id="13" name="Chart 12">
          <a:extLst>
            <a:ext uri="{FF2B5EF4-FFF2-40B4-BE49-F238E27FC236}">
              <a16:creationId xmlns:a16="http://schemas.microsoft.com/office/drawing/2014/main" id="{29293FEF-6BD6-47FE-B41A-66AF15EB7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60960</xdr:colOff>
      <xdr:row>51</xdr:row>
      <xdr:rowOff>95250</xdr:rowOff>
    </xdr:from>
    <xdr:to>
      <xdr:col>16</xdr:col>
      <xdr:colOff>2381250</xdr:colOff>
      <xdr:row>60</xdr:row>
      <xdr:rowOff>190500</xdr:rowOff>
    </xdr:to>
    <xdr:graphicFrame macro="">
      <xdr:nvGraphicFramePr>
        <xdr:cNvPr id="44" name="Chart 43">
          <a:extLst>
            <a:ext uri="{FF2B5EF4-FFF2-40B4-BE49-F238E27FC236}">
              <a16:creationId xmlns:a16="http://schemas.microsoft.com/office/drawing/2014/main" id="{6D731525-416C-43BE-AEFB-3947432A1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300990</xdr:colOff>
      <xdr:row>102</xdr:row>
      <xdr:rowOff>171450</xdr:rowOff>
    </xdr:from>
    <xdr:to>
      <xdr:col>16</xdr:col>
      <xdr:colOff>781050</xdr:colOff>
      <xdr:row>107</xdr:row>
      <xdr:rowOff>0</xdr:rowOff>
    </xdr:to>
    <xdr:graphicFrame macro="">
      <xdr:nvGraphicFramePr>
        <xdr:cNvPr id="90" name="Chart 89">
          <a:extLst>
            <a:ext uri="{FF2B5EF4-FFF2-40B4-BE49-F238E27FC236}">
              <a16:creationId xmlns:a16="http://schemas.microsoft.com/office/drawing/2014/main" id="{A81B6B34-C0C6-4310-9C31-FA7BD66B4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60960</xdr:colOff>
      <xdr:row>182</xdr:row>
      <xdr:rowOff>690918</xdr:rowOff>
    </xdr:from>
    <xdr:to>
      <xdr:col>10</xdr:col>
      <xdr:colOff>1402080</xdr:colOff>
      <xdr:row>184</xdr:row>
      <xdr:rowOff>218478</xdr:rowOff>
    </xdr:to>
    <xdr:sp macro="" textlink="">
      <xdr:nvSpPr>
        <xdr:cNvPr id="95" name="Rectangle: Rounded Corners 94">
          <a:hlinkClick xmlns:r="http://schemas.openxmlformats.org/officeDocument/2006/relationships" r:id="rId20"/>
          <a:extLst>
            <a:ext uri="{FF2B5EF4-FFF2-40B4-BE49-F238E27FC236}">
              <a16:creationId xmlns:a16="http://schemas.microsoft.com/office/drawing/2014/main" id="{04FDF37E-8BF0-4926-A4D6-CF4AC7314007}"/>
            </a:ext>
          </a:extLst>
        </xdr:cNvPr>
        <xdr:cNvSpPr/>
      </xdr:nvSpPr>
      <xdr:spPr>
        <a:xfrm>
          <a:off x="17907000" y="212313558"/>
          <a:ext cx="1341120" cy="1325880"/>
        </a:xfrm>
        <a:prstGeom prst="roundRe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i="0" baseline="0">
              <a:solidFill>
                <a:schemeClr val="lt1"/>
              </a:solidFill>
              <a:effectLst/>
              <a:latin typeface="+mn-lt"/>
              <a:ea typeface="+mn-ea"/>
              <a:cs typeface="+mn-cs"/>
            </a:rPr>
            <a:t>Agência Portuguesa do Ambiente </a:t>
          </a:r>
          <a:endParaRPr lang="en-GB" sz="1600">
            <a:effectLst/>
          </a:endParaRPr>
        </a:p>
        <a:p>
          <a:pPr algn="ctr"/>
          <a:endParaRPr lang="en-GB" sz="1600"/>
        </a:p>
      </xdr:txBody>
    </xdr:sp>
    <xdr:clientData/>
  </xdr:twoCellAnchor>
  <xdr:twoCellAnchor>
    <xdr:from>
      <xdr:col>10</xdr:col>
      <xdr:colOff>2015490</xdr:colOff>
      <xdr:row>123</xdr:row>
      <xdr:rowOff>0</xdr:rowOff>
    </xdr:from>
    <xdr:to>
      <xdr:col>18</xdr:col>
      <xdr:colOff>127000</xdr:colOff>
      <xdr:row>130</xdr:row>
      <xdr:rowOff>558800</xdr:rowOff>
    </xdr:to>
    <xdr:graphicFrame macro="">
      <xdr:nvGraphicFramePr>
        <xdr:cNvPr id="124" name="Chart 123">
          <a:extLst>
            <a:ext uri="{FF2B5EF4-FFF2-40B4-BE49-F238E27FC236}">
              <a16:creationId xmlns:a16="http://schemas.microsoft.com/office/drawing/2014/main" id="{5B9B503B-FC29-4B65-94DC-7699ED28E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533400</xdr:colOff>
      <xdr:row>37</xdr:row>
      <xdr:rowOff>209550</xdr:rowOff>
    </xdr:from>
    <xdr:to>
      <xdr:col>6</xdr:col>
      <xdr:colOff>1236785</xdr:colOff>
      <xdr:row>37</xdr:row>
      <xdr:rowOff>912935</xdr:rowOff>
    </xdr:to>
    <xdr:pic>
      <xdr:nvPicPr>
        <xdr:cNvPr id="5" name="Graphic 4" descr="Bus outline">
          <a:extLst>
            <a:ext uri="{FF2B5EF4-FFF2-40B4-BE49-F238E27FC236}">
              <a16:creationId xmlns:a16="http://schemas.microsoft.com/office/drawing/2014/main" id="{71D62A76-7704-47FC-9874-E41DB6856E48}"/>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2096750" y="60788550"/>
          <a:ext cx="703385" cy="703385"/>
        </a:xfrm>
        <a:prstGeom prst="rect">
          <a:avLst/>
        </a:prstGeom>
      </xdr:spPr>
    </xdr:pic>
    <xdr:clientData/>
  </xdr:twoCellAnchor>
  <xdr:twoCellAnchor editAs="oneCell">
    <xdr:from>
      <xdr:col>5</xdr:col>
      <xdr:colOff>1714499</xdr:colOff>
      <xdr:row>66</xdr:row>
      <xdr:rowOff>190500</xdr:rowOff>
    </xdr:from>
    <xdr:to>
      <xdr:col>5</xdr:col>
      <xdr:colOff>2388136</xdr:colOff>
      <xdr:row>66</xdr:row>
      <xdr:rowOff>876300</xdr:rowOff>
    </xdr:to>
    <xdr:pic>
      <xdr:nvPicPr>
        <xdr:cNvPr id="6" name="Graphic 5" descr="Train outline">
          <a:extLst>
            <a:ext uri="{FF2B5EF4-FFF2-40B4-BE49-F238E27FC236}">
              <a16:creationId xmlns:a16="http://schemas.microsoft.com/office/drawing/2014/main" id="{801C1AB8-9505-41DC-808B-36334A4A48E9}"/>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10096499" y="48577500"/>
          <a:ext cx="673637" cy="685800"/>
        </a:xfrm>
        <a:prstGeom prst="rect">
          <a:avLst/>
        </a:prstGeom>
      </xdr:spPr>
    </xdr:pic>
    <xdr:clientData/>
  </xdr:twoCellAnchor>
  <xdr:twoCellAnchor>
    <xdr:from>
      <xdr:col>11</xdr:col>
      <xdr:colOff>0</xdr:colOff>
      <xdr:row>80</xdr:row>
      <xdr:rowOff>19050</xdr:rowOff>
    </xdr:from>
    <xdr:to>
      <xdr:col>16</xdr:col>
      <xdr:colOff>2324100</xdr:colOff>
      <xdr:row>87</xdr:row>
      <xdr:rowOff>0</xdr:rowOff>
    </xdr:to>
    <xdr:graphicFrame macro="">
      <xdr:nvGraphicFramePr>
        <xdr:cNvPr id="21" name="Chart 20">
          <a:extLst>
            <a:ext uri="{FF2B5EF4-FFF2-40B4-BE49-F238E27FC236}">
              <a16:creationId xmlns:a16="http://schemas.microsoft.com/office/drawing/2014/main" id="{2E0EA5B4-B1DE-45D1-AA27-B515447FD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8</xdr:col>
      <xdr:colOff>483870</xdr:colOff>
      <xdr:row>1</xdr:row>
      <xdr:rowOff>243840</xdr:rowOff>
    </xdr:from>
    <xdr:to>
      <xdr:col>8</xdr:col>
      <xdr:colOff>1192530</xdr:colOff>
      <xdr:row>1</xdr:row>
      <xdr:rowOff>952500</xdr:rowOff>
    </xdr:to>
    <xdr:pic>
      <xdr:nvPicPr>
        <xdr:cNvPr id="27" name="Graphic 26" descr="Arrow: Rotate right outline">
          <a:extLst>
            <a:ext uri="{FF2B5EF4-FFF2-40B4-BE49-F238E27FC236}">
              <a16:creationId xmlns:a16="http://schemas.microsoft.com/office/drawing/2014/main" id="{F58DF6FC-FD16-D751-4FA7-8309C23B3F38}"/>
            </a:ext>
          </a:extLst>
        </xdr:cNvPr>
        <xdr:cNvPicPr>
          <a:picLocks noChangeAspect="1"/>
        </xdr:cNvPicPr>
      </xdr:nvPicPr>
      <xdr:blipFill>
        <a:blip xmlns:r="http://schemas.openxmlformats.org/officeDocument/2006/relationships" r:embed="rId27">
          <a:extLst>
            <a:ext uri="{96DAC541-7B7A-43D3-8B79-37D633B846F1}">
              <asvg:svgBlip xmlns:asvg="http://schemas.microsoft.com/office/drawing/2016/SVG/main" r:embed="rId28"/>
            </a:ext>
          </a:extLst>
        </a:blip>
        <a:stretch>
          <a:fillRect/>
        </a:stretch>
      </xdr:blipFill>
      <xdr:spPr>
        <a:xfrm>
          <a:off x="16409670" y="502920"/>
          <a:ext cx="708660" cy="708660"/>
        </a:xfrm>
        <a:prstGeom prst="rect">
          <a:avLst/>
        </a:prstGeom>
      </xdr:spPr>
    </xdr:pic>
    <xdr:clientData/>
  </xdr:twoCellAnchor>
  <xdr:twoCellAnchor>
    <xdr:from>
      <xdr:col>10</xdr:col>
      <xdr:colOff>965695</xdr:colOff>
      <xdr:row>1</xdr:row>
      <xdr:rowOff>118533</xdr:rowOff>
    </xdr:from>
    <xdr:to>
      <xdr:col>10</xdr:col>
      <xdr:colOff>1761067</xdr:colOff>
      <xdr:row>1</xdr:row>
      <xdr:rowOff>955431</xdr:rowOff>
    </xdr:to>
    <xdr:grpSp>
      <xdr:nvGrpSpPr>
        <xdr:cNvPr id="28" name="Group 27">
          <a:extLst>
            <a:ext uri="{FF2B5EF4-FFF2-40B4-BE49-F238E27FC236}">
              <a16:creationId xmlns:a16="http://schemas.microsoft.com/office/drawing/2014/main" id="{95B39B80-2DAC-4DD0-825D-D08F09002AD1}"/>
            </a:ext>
          </a:extLst>
        </xdr:cNvPr>
        <xdr:cNvGrpSpPr/>
      </xdr:nvGrpSpPr>
      <xdr:grpSpPr>
        <a:xfrm>
          <a:off x="20539570" y="356658"/>
          <a:ext cx="795372" cy="836898"/>
          <a:chOff x="18557628" y="410308"/>
          <a:chExt cx="750277" cy="808892"/>
        </a:xfrm>
      </xdr:grpSpPr>
      <xdr:pic>
        <xdr:nvPicPr>
          <xdr:cNvPr id="29" name="Graphic 28" descr="Home outline">
            <a:hlinkClick xmlns:r="http://schemas.openxmlformats.org/officeDocument/2006/relationships" r:id="rId29"/>
            <a:extLst>
              <a:ext uri="{FF2B5EF4-FFF2-40B4-BE49-F238E27FC236}">
                <a16:creationId xmlns:a16="http://schemas.microsoft.com/office/drawing/2014/main" id="{F2462BDB-A491-C1B8-2490-2254C550B4F1}"/>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18604519" y="410308"/>
            <a:ext cx="504093" cy="507072"/>
          </a:xfrm>
          <a:prstGeom prst="rect">
            <a:avLst/>
          </a:prstGeom>
        </xdr:spPr>
      </xdr:pic>
      <xdr:sp macro="" textlink="">
        <xdr:nvSpPr>
          <xdr:cNvPr id="30" name="TextBox 29">
            <a:hlinkClick xmlns:r="http://schemas.openxmlformats.org/officeDocument/2006/relationships" r:id="rId29"/>
            <a:extLst>
              <a:ext uri="{FF2B5EF4-FFF2-40B4-BE49-F238E27FC236}">
                <a16:creationId xmlns:a16="http://schemas.microsoft.com/office/drawing/2014/main" id="{F9EB6EDB-7E94-9D76-89EA-FA23897B972B}"/>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twoCellAnchor>
    <xdr:from>
      <xdr:col>8</xdr:col>
      <xdr:colOff>1714500</xdr:colOff>
      <xdr:row>1</xdr:row>
      <xdr:rowOff>76200</xdr:rowOff>
    </xdr:from>
    <xdr:to>
      <xdr:col>9</xdr:col>
      <xdr:colOff>1619250</xdr:colOff>
      <xdr:row>3</xdr:row>
      <xdr:rowOff>6350</xdr:rowOff>
    </xdr:to>
    <xdr:grpSp>
      <xdr:nvGrpSpPr>
        <xdr:cNvPr id="31" name="Group 30">
          <a:hlinkClick xmlns:r="http://schemas.openxmlformats.org/officeDocument/2006/relationships" r:id="rId32"/>
          <a:extLst>
            <a:ext uri="{FF2B5EF4-FFF2-40B4-BE49-F238E27FC236}">
              <a16:creationId xmlns:a16="http://schemas.microsoft.com/office/drawing/2014/main" id="{176CC1C2-EC1A-42E8-9503-B39412489BEC}"/>
            </a:ext>
          </a:extLst>
        </xdr:cNvPr>
        <xdr:cNvGrpSpPr/>
      </xdr:nvGrpSpPr>
      <xdr:grpSpPr>
        <a:xfrm>
          <a:off x="17359313" y="314325"/>
          <a:ext cx="1928812" cy="1168400"/>
          <a:chOff x="17335500" y="165100"/>
          <a:chExt cx="1790700" cy="1187450"/>
        </a:xfrm>
      </xdr:grpSpPr>
      <xdr:pic>
        <xdr:nvPicPr>
          <xdr:cNvPr id="32" name="Graphic 31" descr="Badge Question Mark outline">
            <a:extLst>
              <a:ext uri="{FF2B5EF4-FFF2-40B4-BE49-F238E27FC236}">
                <a16:creationId xmlns:a16="http://schemas.microsoft.com/office/drawing/2014/main" id="{5446DE87-A05E-4C91-A4D5-AF521D23A78C}"/>
              </a:ext>
            </a:extLst>
          </xdr:cNvPr>
          <xdr:cNvPicPr>
            <a:picLocks noChangeAspect="1"/>
          </xdr:cNvPicPr>
        </xdr:nvPicPr>
        <xdr:blipFill>
          <a:blip xmlns:r="http://schemas.openxmlformats.org/officeDocument/2006/relationships" r:embed="rId33">
            <a:extLst>
              <a:ext uri="{96DAC541-7B7A-43D3-8B79-37D633B846F1}">
                <asvg:svgBlip xmlns:asvg="http://schemas.microsoft.com/office/drawing/2016/SVG/main" r:embed="rId34"/>
              </a:ext>
            </a:extLst>
          </a:blip>
          <a:stretch>
            <a:fillRect/>
          </a:stretch>
        </xdr:blipFill>
        <xdr:spPr>
          <a:xfrm>
            <a:off x="17802226" y="165100"/>
            <a:ext cx="638175" cy="638175"/>
          </a:xfrm>
          <a:prstGeom prst="rect">
            <a:avLst/>
          </a:prstGeom>
        </xdr:spPr>
      </xdr:pic>
      <xdr:sp macro="" textlink="">
        <xdr:nvSpPr>
          <xdr:cNvPr id="33" name="TextBox 32">
            <a:hlinkClick xmlns:r="http://schemas.openxmlformats.org/officeDocument/2006/relationships" r:id="rId35"/>
            <a:extLst>
              <a:ext uri="{FF2B5EF4-FFF2-40B4-BE49-F238E27FC236}">
                <a16:creationId xmlns:a16="http://schemas.microsoft.com/office/drawing/2014/main" id="{A3F6DBDB-34EB-8ABA-C5CD-A568E88053E5}"/>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9</xdr:col>
      <xdr:colOff>1798028</xdr:colOff>
      <xdr:row>1</xdr:row>
      <xdr:rowOff>146538</xdr:rowOff>
    </xdr:from>
    <xdr:to>
      <xdr:col>10</xdr:col>
      <xdr:colOff>672612</xdr:colOff>
      <xdr:row>1</xdr:row>
      <xdr:rowOff>955431</xdr:rowOff>
    </xdr:to>
    <xdr:grpSp>
      <xdr:nvGrpSpPr>
        <xdr:cNvPr id="34" name="Group 33">
          <a:hlinkClick xmlns:r="http://schemas.openxmlformats.org/officeDocument/2006/relationships" r:id="rId36"/>
          <a:extLst>
            <a:ext uri="{FF2B5EF4-FFF2-40B4-BE49-F238E27FC236}">
              <a16:creationId xmlns:a16="http://schemas.microsoft.com/office/drawing/2014/main" id="{689DA3FF-60DE-41B5-BCC9-1C8BEE3DB314}"/>
            </a:ext>
          </a:extLst>
        </xdr:cNvPr>
        <xdr:cNvGrpSpPr/>
      </xdr:nvGrpSpPr>
      <xdr:grpSpPr>
        <a:xfrm>
          <a:off x="19466903" y="384663"/>
          <a:ext cx="779584" cy="808893"/>
          <a:chOff x="17783906" y="410307"/>
          <a:chExt cx="855784" cy="808893"/>
        </a:xfrm>
      </xdr:grpSpPr>
      <xdr:sp macro="" textlink="">
        <xdr:nvSpPr>
          <xdr:cNvPr id="35" name="TextBox 34">
            <a:hlinkClick xmlns:r="http://schemas.openxmlformats.org/officeDocument/2006/relationships" r:id="rId29"/>
            <a:extLst>
              <a:ext uri="{FF2B5EF4-FFF2-40B4-BE49-F238E27FC236}">
                <a16:creationId xmlns:a16="http://schemas.microsoft.com/office/drawing/2014/main" id="{7156EF6E-079A-829B-A883-FFB0F3D9DFE2}"/>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36" name="Graphic 35" descr="List outline">
            <a:extLst>
              <a:ext uri="{FF2B5EF4-FFF2-40B4-BE49-F238E27FC236}">
                <a16:creationId xmlns:a16="http://schemas.microsoft.com/office/drawing/2014/main" id="{859F5FBF-D01B-D0A9-7DCC-44DA8D7D6D8A}"/>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tretch>
            <a:fillRect/>
          </a:stretch>
        </xdr:blipFill>
        <xdr:spPr>
          <a:xfrm>
            <a:off x="17901138" y="410307"/>
            <a:ext cx="539260" cy="531557"/>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174171</xdr:colOff>
      <xdr:row>57</xdr:row>
      <xdr:rowOff>32657</xdr:rowOff>
    </xdr:from>
    <xdr:to>
      <xdr:col>2</xdr:col>
      <xdr:colOff>178525</xdr:colOff>
      <xdr:row>61</xdr:row>
      <xdr:rowOff>76201</xdr:rowOff>
    </xdr:to>
    <xdr:cxnSp macro="">
      <xdr:nvCxnSpPr>
        <xdr:cNvPr id="8" name="Straight Arrow Connector 7">
          <a:extLst>
            <a:ext uri="{FF2B5EF4-FFF2-40B4-BE49-F238E27FC236}">
              <a16:creationId xmlns:a16="http://schemas.microsoft.com/office/drawing/2014/main" id="{849B74D8-D28E-4E4C-93DD-376BFCA4F3E2}"/>
            </a:ext>
          </a:extLst>
        </xdr:cNvPr>
        <xdr:cNvCxnSpPr/>
      </xdr:nvCxnSpPr>
      <xdr:spPr>
        <a:xfrm flipH="1">
          <a:off x="805542" y="22555200"/>
          <a:ext cx="4354" cy="1970315"/>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195946</xdr:colOff>
      <xdr:row>145</xdr:row>
      <xdr:rowOff>65315</xdr:rowOff>
    </xdr:from>
    <xdr:to>
      <xdr:col>2</xdr:col>
      <xdr:colOff>228602</xdr:colOff>
      <xdr:row>151</xdr:row>
      <xdr:rowOff>0</xdr:rowOff>
    </xdr:to>
    <xdr:cxnSp macro="">
      <xdr:nvCxnSpPr>
        <xdr:cNvPr id="17" name="Straight Arrow Connector 16">
          <a:extLst>
            <a:ext uri="{FF2B5EF4-FFF2-40B4-BE49-F238E27FC236}">
              <a16:creationId xmlns:a16="http://schemas.microsoft.com/office/drawing/2014/main" id="{AFF4BD1E-6998-43E1-8644-ECB276EE5985}"/>
            </a:ext>
          </a:extLst>
        </xdr:cNvPr>
        <xdr:cNvCxnSpPr/>
      </xdr:nvCxnSpPr>
      <xdr:spPr>
        <a:xfrm flipH="1">
          <a:off x="827317" y="40429544"/>
          <a:ext cx="32656" cy="1839685"/>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xdr:col>
      <xdr:colOff>97132</xdr:colOff>
      <xdr:row>1</xdr:row>
      <xdr:rowOff>187568</xdr:rowOff>
    </xdr:from>
    <xdr:to>
      <xdr:col>5</xdr:col>
      <xdr:colOff>597877</xdr:colOff>
      <xdr:row>1</xdr:row>
      <xdr:rowOff>688313</xdr:rowOff>
    </xdr:to>
    <xdr:pic>
      <xdr:nvPicPr>
        <xdr:cNvPr id="16" name="Graphic 15" descr="Cycling with solid fill">
          <a:extLst>
            <a:ext uri="{FF2B5EF4-FFF2-40B4-BE49-F238E27FC236}">
              <a16:creationId xmlns:a16="http://schemas.microsoft.com/office/drawing/2014/main" id="{432A3786-6377-7BCF-216A-8B37225CA3F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88178" y="375137"/>
          <a:ext cx="500745" cy="500745"/>
        </a:xfrm>
        <a:prstGeom prst="rect">
          <a:avLst/>
        </a:prstGeom>
      </xdr:spPr>
    </xdr:pic>
    <xdr:clientData/>
  </xdr:twoCellAnchor>
  <xdr:twoCellAnchor>
    <xdr:from>
      <xdr:col>2</xdr:col>
      <xdr:colOff>206829</xdr:colOff>
      <xdr:row>193</xdr:row>
      <xdr:rowOff>119744</xdr:rowOff>
    </xdr:from>
    <xdr:to>
      <xdr:col>2</xdr:col>
      <xdr:colOff>228600</xdr:colOff>
      <xdr:row>198</xdr:row>
      <xdr:rowOff>76200</xdr:rowOff>
    </xdr:to>
    <xdr:cxnSp macro="">
      <xdr:nvCxnSpPr>
        <xdr:cNvPr id="41" name="Straight Arrow Connector 40">
          <a:extLst>
            <a:ext uri="{FF2B5EF4-FFF2-40B4-BE49-F238E27FC236}">
              <a16:creationId xmlns:a16="http://schemas.microsoft.com/office/drawing/2014/main" id="{81B22B9C-3A4D-411C-B10A-1F238B66EF3C}"/>
            </a:ext>
          </a:extLst>
        </xdr:cNvPr>
        <xdr:cNvCxnSpPr/>
      </xdr:nvCxnSpPr>
      <xdr:spPr>
        <a:xfrm flipH="1">
          <a:off x="838200" y="59599287"/>
          <a:ext cx="21771" cy="881742"/>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308066</xdr:colOff>
      <xdr:row>127</xdr:row>
      <xdr:rowOff>3266</xdr:rowOff>
    </xdr:from>
    <xdr:to>
      <xdr:col>7</xdr:col>
      <xdr:colOff>10885</xdr:colOff>
      <xdr:row>128</xdr:row>
      <xdr:rowOff>413658</xdr:rowOff>
    </xdr:to>
    <xdr:sp macro="" textlink="">
      <xdr:nvSpPr>
        <xdr:cNvPr id="12" name="TextBox 11">
          <a:extLst>
            <a:ext uri="{FF2B5EF4-FFF2-40B4-BE49-F238E27FC236}">
              <a16:creationId xmlns:a16="http://schemas.microsoft.com/office/drawing/2014/main" id="{52B8A6A2-5A7F-4933-B41D-5F0A0C6D1D23}"/>
            </a:ext>
          </a:extLst>
        </xdr:cNvPr>
        <xdr:cNvSpPr txBox="1"/>
      </xdr:nvSpPr>
      <xdr:spPr>
        <a:xfrm>
          <a:off x="1102723" y="45244295"/>
          <a:ext cx="8672648" cy="1139734"/>
        </a:xfrm>
        <a:prstGeom prst="rect">
          <a:avLst/>
        </a:prstGeom>
        <a:solidFill>
          <a:srgbClr val="FFC0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0" i="0" u="none" strike="noStrike" baseline="0">
              <a:solidFill>
                <a:srgbClr val="993300"/>
              </a:solidFill>
              <a:effectLst/>
              <a:latin typeface="Aptos" panose="020B0004020202020204" pitchFamily="34" charset="0"/>
              <a:ea typeface="+mn-ea"/>
              <a:cs typeface="+mn-cs"/>
            </a:rPr>
            <a:t>             1. Completar esta secção caso tenha seleccionado a opção II;</a:t>
          </a:r>
        </a:p>
        <a:p>
          <a:pPr algn="l"/>
          <a:r>
            <a:rPr lang="en-GB" sz="1400" b="0" i="0" u="none" strike="noStrike" baseline="0">
              <a:solidFill>
                <a:srgbClr val="993300"/>
              </a:solidFill>
              <a:effectLst/>
              <a:latin typeface="Aptos" panose="020B0004020202020204" pitchFamily="34" charset="0"/>
              <a:ea typeface="+mn-ea"/>
              <a:cs typeface="+mn-cs"/>
            </a:rPr>
            <a:t>             2. Definir os tempos de viagem em movimentos pendulares para os vários modos de transporte;</a:t>
          </a:r>
        </a:p>
        <a:p>
          <a:pPr algn="l"/>
          <a:r>
            <a:rPr lang="en-GB" sz="1400" b="0" i="0" u="none" strike="noStrike" baseline="0">
              <a:solidFill>
                <a:srgbClr val="993300"/>
              </a:solidFill>
              <a:effectLst/>
              <a:latin typeface="Aptos" panose="020B0004020202020204" pitchFamily="34" charset="0"/>
              <a:ea typeface="+mn-ea"/>
              <a:cs typeface="+mn-cs"/>
            </a:rPr>
            <a:t>             3. Especificar a </a:t>
          </a:r>
          <a:r>
            <a:rPr lang="en-GB" sz="1400" b="1" i="0" u="none" strike="noStrike" baseline="0">
              <a:solidFill>
                <a:srgbClr val="993300"/>
              </a:solidFill>
              <a:effectLst/>
              <a:latin typeface="Aptos" panose="020B0004020202020204" pitchFamily="34" charset="0"/>
              <a:ea typeface="+mn-ea"/>
              <a:cs typeface="+mn-cs"/>
            </a:rPr>
            <a:t>fonte dos dados </a:t>
          </a:r>
          <a:r>
            <a:rPr lang="en-GB" sz="1400" b="0" i="0" u="none" strike="noStrike" baseline="0">
              <a:solidFill>
                <a:srgbClr val="993300"/>
              </a:solidFill>
              <a:effectLst/>
              <a:latin typeface="Aptos" panose="020B0004020202020204" pitchFamily="34" charset="0"/>
              <a:ea typeface="+mn-ea"/>
              <a:cs typeface="+mn-cs"/>
            </a:rPr>
            <a:t>e a </a:t>
          </a:r>
          <a:r>
            <a:rPr lang="en-GB" sz="1400" b="1" i="0" u="none" strike="noStrike" baseline="0">
              <a:solidFill>
                <a:srgbClr val="993300"/>
              </a:solidFill>
              <a:effectLst/>
              <a:latin typeface="Aptos" panose="020B0004020202020204" pitchFamily="34" charset="0"/>
              <a:ea typeface="+mn-ea"/>
              <a:cs typeface="+mn-cs"/>
            </a:rPr>
            <a:t>metodologia</a:t>
          </a:r>
          <a:r>
            <a:rPr lang="en-GB" sz="1400" b="0" i="0" u="none" strike="noStrike" baseline="0">
              <a:solidFill>
                <a:srgbClr val="993300"/>
              </a:solidFill>
              <a:effectLst/>
              <a:latin typeface="Aptos" panose="020B0004020202020204" pitchFamily="34" charset="0"/>
              <a:ea typeface="+mn-ea"/>
              <a:cs typeface="+mn-cs"/>
            </a:rPr>
            <a:t> utilizada para estimar os tempos médios de viagem.</a:t>
          </a:r>
        </a:p>
        <a:p>
          <a:pPr algn="l"/>
          <a:r>
            <a:rPr lang="en-GB" sz="1400" b="0" i="0" u="none" strike="noStrike" baseline="0">
              <a:solidFill>
                <a:srgbClr val="993300"/>
              </a:solidFill>
              <a:effectLst/>
              <a:latin typeface="Aptos" panose="020B0004020202020204" pitchFamily="34" charset="0"/>
              <a:ea typeface="+mn-ea"/>
              <a:cs typeface="+mn-cs"/>
            </a:rPr>
            <a:t>             4. Sugestão: Utilizar a ferramenta                                      para calcular os tempos de viagem.</a:t>
          </a:r>
        </a:p>
      </xdr:txBody>
    </xdr:sp>
    <xdr:clientData/>
  </xdr:twoCellAnchor>
  <xdr:twoCellAnchor>
    <xdr:from>
      <xdr:col>1</xdr:col>
      <xdr:colOff>185057</xdr:colOff>
      <xdr:row>126</xdr:row>
      <xdr:rowOff>130628</xdr:rowOff>
    </xdr:from>
    <xdr:to>
      <xdr:col>2</xdr:col>
      <xdr:colOff>729342</xdr:colOff>
      <xdr:row>127</xdr:row>
      <xdr:rowOff>261256</xdr:rowOff>
    </xdr:to>
    <xdr:sp macro="" textlink="">
      <xdr:nvSpPr>
        <xdr:cNvPr id="13" name="Flowchart: Connector 12">
          <a:extLst>
            <a:ext uri="{FF2B5EF4-FFF2-40B4-BE49-F238E27FC236}">
              <a16:creationId xmlns:a16="http://schemas.microsoft.com/office/drawing/2014/main" id="{9BFF7780-1871-4E2B-927D-8A181A0D5DD4}"/>
            </a:ext>
          </a:extLst>
        </xdr:cNvPr>
        <xdr:cNvSpPr/>
      </xdr:nvSpPr>
      <xdr:spPr>
        <a:xfrm>
          <a:off x="783771" y="45208371"/>
          <a:ext cx="740228" cy="293914"/>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i="0">
              <a:solidFill>
                <a:srgbClr val="993300"/>
              </a:solidFill>
              <a:latin typeface="Aptos" panose="020B0004020202020204" pitchFamily="34" charset="0"/>
            </a:rPr>
            <a:t>info</a:t>
          </a:r>
        </a:p>
      </xdr:txBody>
    </xdr:sp>
    <xdr:clientData/>
  </xdr:twoCellAnchor>
  <xdr:twoCellAnchor>
    <xdr:from>
      <xdr:col>3</xdr:col>
      <xdr:colOff>587829</xdr:colOff>
      <xdr:row>127</xdr:row>
      <xdr:rowOff>718457</xdr:rowOff>
    </xdr:from>
    <xdr:to>
      <xdr:col>4</xdr:col>
      <xdr:colOff>957943</xdr:colOff>
      <xdr:row>128</xdr:row>
      <xdr:rowOff>283028</xdr:rowOff>
    </xdr:to>
    <xdr:sp macro="" textlink="">
      <xdr:nvSpPr>
        <xdr:cNvPr id="14" name="TextBox 13">
          <a:hlinkClick xmlns:r="http://schemas.openxmlformats.org/officeDocument/2006/relationships" r:id="rId3"/>
          <a:extLst>
            <a:ext uri="{FF2B5EF4-FFF2-40B4-BE49-F238E27FC236}">
              <a16:creationId xmlns:a16="http://schemas.microsoft.com/office/drawing/2014/main" id="{CF980736-5C49-B777-04F2-A5F47825C6E9}"/>
            </a:ext>
          </a:extLst>
        </xdr:cNvPr>
        <xdr:cNvSpPr txBox="1"/>
      </xdr:nvSpPr>
      <xdr:spPr>
        <a:xfrm>
          <a:off x="4245429" y="45959486"/>
          <a:ext cx="1262743" cy="293913"/>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i="0" u="none" strike="noStrike" baseline="0">
              <a:solidFill>
                <a:schemeClr val="bg1"/>
              </a:solidFill>
              <a:effectLst/>
              <a:latin typeface="Aptos" panose="020B0004020202020204" pitchFamily="34" charset="0"/>
              <a:ea typeface="+mn-ea"/>
              <a:cs typeface="+mn-cs"/>
            </a:rPr>
            <a:t>"googlemaps" </a:t>
          </a:r>
        </a:p>
      </xdr:txBody>
    </xdr:sp>
    <xdr:clientData/>
  </xdr:twoCellAnchor>
  <xdr:twoCellAnchor>
    <xdr:from>
      <xdr:col>8</xdr:col>
      <xdr:colOff>195771</xdr:colOff>
      <xdr:row>154</xdr:row>
      <xdr:rowOff>203981</xdr:rowOff>
    </xdr:from>
    <xdr:to>
      <xdr:col>14</xdr:col>
      <xdr:colOff>148882</xdr:colOff>
      <xdr:row>163</xdr:row>
      <xdr:rowOff>117231</xdr:rowOff>
    </xdr:to>
    <xdr:graphicFrame macro="">
      <xdr:nvGraphicFramePr>
        <xdr:cNvPr id="4" name="Chart 3">
          <a:extLst>
            <a:ext uri="{FF2B5EF4-FFF2-40B4-BE49-F238E27FC236}">
              <a16:creationId xmlns:a16="http://schemas.microsoft.com/office/drawing/2014/main" id="{1437AC8C-6CB6-490A-91DC-347523233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351692</xdr:colOff>
      <xdr:row>2</xdr:row>
      <xdr:rowOff>164123</xdr:rowOff>
    </xdr:from>
    <xdr:to>
      <xdr:col>9</xdr:col>
      <xdr:colOff>761998</xdr:colOff>
      <xdr:row>4</xdr:row>
      <xdr:rowOff>86933</xdr:rowOff>
    </xdr:to>
    <xdr:sp macro="" textlink="">
      <xdr:nvSpPr>
        <xdr:cNvPr id="11" name="Flowchart: Connector 10">
          <a:extLst>
            <a:ext uri="{FF2B5EF4-FFF2-40B4-BE49-F238E27FC236}">
              <a16:creationId xmlns:a16="http://schemas.microsoft.com/office/drawing/2014/main" id="{CE607B94-EE41-49A2-BC8C-44DC3641D7E9}"/>
            </a:ext>
          </a:extLst>
        </xdr:cNvPr>
        <xdr:cNvSpPr/>
      </xdr:nvSpPr>
      <xdr:spPr>
        <a:xfrm>
          <a:off x="13247077" y="1242646"/>
          <a:ext cx="1055075" cy="297949"/>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8</xdr:col>
      <xdr:colOff>293076</xdr:colOff>
      <xdr:row>18</xdr:row>
      <xdr:rowOff>23446</xdr:rowOff>
    </xdr:from>
    <xdr:to>
      <xdr:col>9</xdr:col>
      <xdr:colOff>761999</xdr:colOff>
      <xdr:row>19</xdr:row>
      <xdr:rowOff>35169</xdr:rowOff>
    </xdr:to>
    <xdr:sp macro="" textlink="">
      <xdr:nvSpPr>
        <xdr:cNvPr id="15" name="Flowchart: Connector 14">
          <a:extLst>
            <a:ext uri="{FF2B5EF4-FFF2-40B4-BE49-F238E27FC236}">
              <a16:creationId xmlns:a16="http://schemas.microsoft.com/office/drawing/2014/main" id="{02905C27-C6A2-487E-87DF-EB671013E8DB}"/>
            </a:ext>
          </a:extLst>
        </xdr:cNvPr>
        <xdr:cNvSpPr/>
      </xdr:nvSpPr>
      <xdr:spPr>
        <a:xfrm>
          <a:off x="13910016" y="7811086"/>
          <a:ext cx="1086143" cy="316523"/>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2</xdr:col>
      <xdr:colOff>697859</xdr:colOff>
      <xdr:row>198</xdr:row>
      <xdr:rowOff>137160</xdr:rowOff>
    </xdr:from>
    <xdr:to>
      <xdr:col>4</xdr:col>
      <xdr:colOff>1219535</xdr:colOff>
      <xdr:row>206</xdr:row>
      <xdr:rowOff>111035</xdr:rowOff>
    </xdr:to>
    <xdr:sp macro="" textlink="">
      <xdr:nvSpPr>
        <xdr:cNvPr id="20" name="TextBox 19">
          <a:hlinkClick xmlns:r="http://schemas.openxmlformats.org/officeDocument/2006/relationships" r:id="rId5"/>
          <a:extLst>
            <a:ext uri="{FF2B5EF4-FFF2-40B4-BE49-F238E27FC236}">
              <a16:creationId xmlns:a16="http://schemas.microsoft.com/office/drawing/2014/main" id="{EAEE241A-796D-49EB-AB6F-5C995185EC50}"/>
            </a:ext>
          </a:extLst>
        </xdr:cNvPr>
        <xdr:cNvSpPr txBox="1"/>
      </xdr:nvSpPr>
      <xdr:spPr>
        <a:xfrm>
          <a:off x="1139819" y="84902040"/>
          <a:ext cx="4941276" cy="1436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0</xdr:col>
      <xdr:colOff>167640</xdr:colOff>
      <xdr:row>199</xdr:row>
      <xdr:rowOff>108355</xdr:rowOff>
    </xdr:from>
    <xdr:to>
      <xdr:col>2</xdr:col>
      <xdr:colOff>640080</xdr:colOff>
      <xdr:row>204</xdr:row>
      <xdr:rowOff>108356</xdr:rowOff>
    </xdr:to>
    <xdr:pic>
      <xdr:nvPicPr>
        <xdr:cNvPr id="28" name="Graphic 27" descr="CheckList outline">
          <a:hlinkClick xmlns:r="http://schemas.openxmlformats.org/officeDocument/2006/relationships" r:id="rId5"/>
          <a:extLst>
            <a:ext uri="{FF2B5EF4-FFF2-40B4-BE49-F238E27FC236}">
              <a16:creationId xmlns:a16="http://schemas.microsoft.com/office/drawing/2014/main" id="{CB520CAF-F7DE-4F99-ADB4-4EF4563FBBA5}"/>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67640" y="85056115"/>
          <a:ext cx="914400" cy="914400"/>
        </a:xfrm>
        <a:prstGeom prst="rect">
          <a:avLst/>
        </a:prstGeom>
      </xdr:spPr>
    </xdr:pic>
    <xdr:clientData/>
  </xdr:twoCellAnchor>
  <xdr:twoCellAnchor>
    <xdr:from>
      <xdr:col>10</xdr:col>
      <xdr:colOff>1289546</xdr:colOff>
      <xdr:row>1</xdr:row>
      <xdr:rowOff>70339</xdr:rowOff>
    </xdr:from>
    <xdr:to>
      <xdr:col>11</xdr:col>
      <xdr:colOff>504100</xdr:colOff>
      <xdr:row>1</xdr:row>
      <xdr:rowOff>879231</xdr:rowOff>
    </xdr:to>
    <xdr:grpSp>
      <xdr:nvGrpSpPr>
        <xdr:cNvPr id="2" name="Group 1">
          <a:extLst>
            <a:ext uri="{FF2B5EF4-FFF2-40B4-BE49-F238E27FC236}">
              <a16:creationId xmlns:a16="http://schemas.microsoft.com/office/drawing/2014/main" id="{0DFDEBC4-C7DC-457B-B3F6-D0D442601F86}"/>
            </a:ext>
          </a:extLst>
        </xdr:cNvPr>
        <xdr:cNvGrpSpPr/>
      </xdr:nvGrpSpPr>
      <xdr:grpSpPr>
        <a:xfrm>
          <a:off x="16962501" y="257953"/>
          <a:ext cx="701031" cy="808892"/>
          <a:chOff x="18557628" y="410308"/>
          <a:chExt cx="750277" cy="808892"/>
        </a:xfrm>
      </xdr:grpSpPr>
      <xdr:pic>
        <xdr:nvPicPr>
          <xdr:cNvPr id="3" name="Graphic 2" descr="Home outline">
            <a:hlinkClick xmlns:r="http://schemas.openxmlformats.org/officeDocument/2006/relationships" r:id="rId8"/>
            <a:extLst>
              <a:ext uri="{FF2B5EF4-FFF2-40B4-BE49-F238E27FC236}">
                <a16:creationId xmlns:a16="http://schemas.microsoft.com/office/drawing/2014/main" id="{6F231556-2945-055B-86EC-038B0F9623F2}"/>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8604519" y="410308"/>
            <a:ext cx="504093" cy="507072"/>
          </a:xfrm>
          <a:prstGeom prst="rect">
            <a:avLst/>
          </a:prstGeom>
        </xdr:spPr>
      </xdr:pic>
      <xdr:sp macro="" textlink="">
        <xdr:nvSpPr>
          <xdr:cNvPr id="5" name="TextBox 4">
            <a:hlinkClick xmlns:r="http://schemas.openxmlformats.org/officeDocument/2006/relationships" r:id="rId8"/>
            <a:extLst>
              <a:ext uri="{FF2B5EF4-FFF2-40B4-BE49-F238E27FC236}">
                <a16:creationId xmlns:a16="http://schemas.microsoft.com/office/drawing/2014/main" id="{C48359FA-3005-88B7-7566-0F69D522C3CF}"/>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twoCellAnchor>
    <xdr:from>
      <xdr:col>9</xdr:col>
      <xdr:colOff>738555</xdr:colOff>
      <xdr:row>1</xdr:row>
      <xdr:rowOff>0</xdr:rowOff>
    </xdr:from>
    <xdr:to>
      <xdr:col>9</xdr:col>
      <xdr:colOff>2529255</xdr:colOff>
      <xdr:row>3</xdr:row>
      <xdr:rowOff>108927</xdr:rowOff>
    </xdr:to>
    <xdr:grpSp>
      <xdr:nvGrpSpPr>
        <xdr:cNvPr id="6" name="Group 5">
          <a:hlinkClick xmlns:r="http://schemas.openxmlformats.org/officeDocument/2006/relationships" r:id="rId11"/>
          <a:extLst>
            <a:ext uri="{FF2B5EF4-FFF2-40B4-BE49-F238E27FC236}">
              <a16:creationId xmlns:a16="http://schemas.microsoft.com/office/drawing/2014/main" id="{2BF3B930-1B85-42D7-A561-F787AFF18478}"/>
            </a:ext>
          </a:extLst>
        </xdr:cNvPr>
        <xdr:cNvGrpSpPr/>
      </xdr:nvGrpSpPr>
      <xdr:grpSpPr>
        <a:xfrm>
          <a:off x="13914805" y="187614"/>
          <a:ext cx="1752600" cy="1176881"/>
          <a:chOff x="17335500" y="165100"/>
          <a:chExt cx="1790700" cy="1187450"/>
        </a:xfrm>
      </xdr:grpSpPr>
      <xdr:pic>
        <xdr:nvPicPr>
          <xdr:cNvPr id="7" name="Graphic 6" descr="Badge Question Mark outline">
            <a:extLst>
              <a:ext uri="{FF2B5EF4-FFF2-40B4-BE49-F238E27FC236}">
                <a16:creationId xmlns:a16="http://schemas.microsoft.com/office/drawing/2014/main" id="{194BE555-799E-55CD-BD69-3BBE0CDEDC74}"/>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802226" y="165100"/>
            <a:ext cx="638175" cy="638175"/>
          </a:xfrm>
          <a:prstGeom prst="rect">
            <a:avLst/>
          </a:prstGeom>
        </xdr:spPr>
      </xdr:pic>
      <xdr:sp macro="" textlink="">
        <xdr:nvSpPr>
          <xdr:cNvPr id="9" name="TextBox 8">
            <a:hlinkClick xmlns:r="http://schemas.openxmlformats.org/officeDocument/2006/relationships" r:id="rId14"/>
            <a:extLst>
              <a:ext uri="{FF2B5EF4-FFF2-40B4-BE49-F238E27FC236}">
                <a16:creationId xmlns:a16="http://schemas.microsoft.com/office/drawing/2014/main" id="{FBEE91FF-A939-EE3B-1CB5-E317357E28D1}"/>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10</xdr:col>
      <xdr:colOff>140679</xdr:colOff>
      <xdr:row>1</xdr:row>
      <xdr:rowOff>70338</xdr:rowOff>
    </xdr:from>
    <xdr:to>
      <xdr:col>10</xdr:col>
      <xdr:colOff>996463</xdr:colOff>
      <xdr:row>1</xdr:row>
      <xdr:rowOff>879231</xdr:rowOff>
    </xdr:to>
    <xdr:grpSp>
      <xdr:nvGrpSpPr>
        <xdr:cNvPr id="18" name="Group 17">
          <a:hlinkClick xmlns:r="http://schemas.openxmlformats.org/officeDocument/2006/relationships" r:id="rId15"/>
          <a:extLst>
            <a:ext uri="{FF2B5EF4-FFF2-40B4-BE49-F238E27FC236}">
              <a16:creationId xmlns:a16="http://schemas.microsoft.com/office/drawing/2014/main" id="{E7EDBA65-6254-4786-B237-004DC79BE0B0}"/>
            </a:ext>
          </a:extLst>
        </xdr:cNvPr>
        <xdr:cNvGrpSpPr/>
      </xdr:nvGrpSpPr>
      <xdr:grpSpPr>
        <a:xfrm>
          <a:off x="15813634" y="257952"/>
          <a:ext cx="855784" cy="808893"/>
          <a:chOff x="17783906" y="410307"/>
          <a:chExt cx="855784" cy="808893"/>
        </a:xfrm>
      </xdr:grpSpPr>
      <xdr:sp macro="" textlink="">
        <xdr:nvSpPr>
          <xdr:cNvPr id="22" name="TextBox 21">
            <a:hlinkClick xmlns:r="http://schemas.openxmlformats.org/officeDocument/2006/relationships" r:id="rId8"/>
            <a:extLst>
              <a:ext uri="{FF2B5EF4-FFF2-40B4-BE49-F238E27FC236}">
                <a16:creationId xmlns:a16="http://schemas.microsoft.com/office/drawing/2014/main" id="{E64ED1E6-04E3-36C4-B616-BAD5835A5DF9}"/>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23" name="Graphic 22" descr="List outline">
            <a:extLst>
              <a:ext uri="{FF2B5EF4-FFF2-40B4-BE49-F238E27FC236}">
                <a16:creationId xmlns:a16="http://schemas.microsoft.com/office/drawing/2014/main" id="{E8477B60-7C90-F0BA-9A44-A0322C5BE14F}"/>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7901138" y="410307"/>
            <a:ext cx="539260" cy="531557"/>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174171</xdr:colOff>
      <xdr:row>63</xdr:row>
      <xdr:rowOff>32657</xdr:rowOff>
    </xdr:from>
    <xdr:to>
      <xdr:col>2</xdr:col>
      <xdr:colOff>178525</xdr:colOff>
      <xdr:row>65</xdr:row>
      <xdr:rowOff>76201</xdr:rowOff>
    </xdr:to>
    <xdr:cxnSp macro="">
      <xdr:nvCxnSpPr>
        <xdr:cNvPr id="29" name="Straight Arrow Connector 28">
          <a:extLst>
            <a:ext uri="{FF2B5EF4-FFF2-40B4-BE49-F238E27FC236}">
              <a16:creationId xmlns:a16="http://schemas.microsoft.com/office/drawing/2014/main" id="{AFDA6B0C-4B78-41CF-A99D-BAF40C95D564}"/>
            </a:ext>
          </a:extLst>
        </xdr:cNvPr>
        <xdr:cNvCxnSpPr/>
      </xdr:nvCxnSpPr>
      <xdr:spPr>
        <a:xfrm flipH="1">
          <a:off x="951411" y="39664277"/>
          <a:ext cx="4354" cy="1948544"/>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195946</xdr:colOff>
      <xdr:row>112</xdr:row>
      <xdr:rowOff>65315</xdr:rowOff>
    </xdr:from>
    <xdr:to>
      <xdr:col>2</xdr:col>
      <xdr:colOff>228602</xdr:colOff>
      <xdr:row>117</xdr:row>
      <xdr:rowOff>0</xdr:rowOff>
    </xdr:to>
    <xdr:cxnSp macro="">
      <xdr:nvCxnSpPr>
        <xdr:cNvPr id="31" name="Straight Arrow Connector 30">
          <a:extLst>
            <a:ext uri="{FF2B5EF4-FFF2-40B4-BE49-F238E27FC236}">
              <a16:creationId xmlns:a16="http://schemas.microsoft.com/office/drawing/2014/main" id="{BF12A055-71E2-4E76-854A-8EDAA3A8AF41}"/>
            </a:ext>
          </a:extLst>
        </xdr:cNvPr>
        <xdr:cNvCxnSpPr/>
      </xdr:nvCxnSpPr>
      <xdr:spPr>
        <a:xfrm flipH="1">
          <a:off x="973186" y="69910235"/>
          <a:ext cx="32656" cy="1763485"/>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206829</xdr:colOff>
      <xdr:row>164</xdr:row>
      <xdr:rowOff>119744</xdr:rowOff>
    </xdr:from>
    <xdr:to>
      <xdr:col>2</xdr:col>
      <xdr:colOff>228600</xdr:colOff>
      <xdr:row>167</xdr:row>
      <xdr:rowOff>76200</xdr:rowOff>
    </xdr:to>
    <xdr:cxnSp macro="">
      <xdr:nvCxnSpPr>
        <xdr:cNvPr id="37" name="Straight Arrow Connector 36">
          <a:extLst>
            <a:ext uri="{FF2B5EF4-FFF2-40B4-BE49-F238E27FC236}">
              <a16:creationId xmlns:a16="http://schemas.microsoft.com/office/drawing/2014/main" id="{73434259-2B49-4430-8D3F-F38A96FD1525}"/>
            </a:ext>
          </a:extLst>
        </xdr:cNvPr>
        <xdr:cNvCxnSpPr/>
      </xdr:nvCxnSpPr>
      <xdr:spPr>
        <a:xfrm flipH="1">
          <a:off x="984069" y="102768764"/>
          <a:ext cx="21771" cy="886096"/>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772887</xdr:colOff>
      <xdr:row>167</xdr:row>
      <xdr:rowOff>68663</xdr:rowOff>
    </xdr:from>
    <xdr:to>
      <xdr:col>4</xdr:col>
      <xdr:colOff>239486</xdr:colOff>
      <xdr:row>171</xdr:row>
      <xdr:rowOff>286378</xdr:rowOff>
    </xdr:to>
    <xdr:sp macro="" textlink="">
      <xdr:nvSpPr>
        <xdr:cNvPr id="40" name="TextBox 39">
          <a:hlinkClick xmlns:r="http://schemas.openxmlformats.org/officeDocument/2006/relationships" r:id="rId1"/>
          <a:extLst>
            <a:ext uri="{FF2B5EF4-FFF2-40B4-BE49-F238E27FC236}">
              <a16:creationId xmlns:a16="http://schemas.microsoft.com/office/drawing/2014/main" id="{9F4DA882-2936-44C7-9AE5-5D416AF4D77B}"/>
            </a:ext>
          </a:extLst>
        </xdr:cNvPr>
        <xdr:cNvSpPr txBox="1"/>
      </xdr:nvSpPr>
      <xdr:spPr>
        <a:xfrm>
          <a:off x="1218364" y="115927832"/>
          <a:ext cx="3874476" cy="1436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37</xdr:col>
      <xdr:colOff>480654</xdr:colOff>
      <xdr:row>9</xdr:row>
      <xdr:rowOff>0</xdr:rowOff>
    </xdr:from>
    <xdr:to>
      <xdr:col>38</xdr:col>
      <xdr:colOff>537613</xdr:colOff>
      <xdr:row>10</xdr:row>
      <xdr:rowOff>321154</xdr:rowOff>
    </xdr:to>
    <xdr:pic>
      <xdr:nvPicPr>
        <xdr:cNvPr id="14" name="Graphic 13" descr="CheckList with solid fill">
          <a:hlinkClick xmlns:r="http://schemas.openxmlformats.org/officeDocument/2006/relationships" r:id="rId2"/>
          <a:extLst>
            <a:ext uri="{FF2B5EF4-FFF2-40B4-BE49-F238E27FC236}">
              <a16:creationId xmlns:a16="http://schemas.microsoft.com/office/drawing/2014/main" id="{9B6C1065-2ECA-4C65-9632-0976288E245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5685054" y="14055969"/>
          <a:ext cx="666559" cy="625954"/>
        </a:xfrm>
        <a:prstGeom prst="rect">
          <a:avLst/>
        </a:prstGeom>
      </xdr:spPr>
    </xdr:pic>
    <xdr:clientData/>
  </xdr:twoCellAnchor>
  <xdr:twoCellAnchor>
    <xdr:from>
      <xdr:col>11</xdr:col>
      <xdr:colOff>750280</xdr:colOff>
      <xdr:row>1</xdr:row>
      <xdr:rowOff>105508</xdr:rowOff>
    </xdr:from>
    <xdr:to>
      <xdr:col>11</xdr:col>
      <xdr:colOff>1500557</xdr:colOff>
      <xdr:row>3</xdr:row>
      <xdr:rowOff>23446</xdr:rowOff>
    </xdr:to>
    <xdr:grpSp>
      <xdr:nvGrpSpPr>
        <xdr:cNvPr id="34" name="Group 33">
          <a:extLst>
            <a:ext uri="{FF2B5EF4-FFF2-40B4-BE49-F238E27FC236}">
              <a16:creationId xmlns:a16="http://schemas.microsoft.com/office/drawing/2014/main" id="{308FC181-CD36-804D-2405-4BC9D1AEAB57}"/>
            </a:ext>
          </a:extLst>
        </xdr:cNvPr>
        <xdr:cNvGrpSpPr/>
      </xdr:nvGrpSpPr>
      <xdr:grpSpPr>
        <a:xfrm>
          <a:off x="17865514" y="403164"/>
          <a:ext cx="750277" cy="825790"/>
          <a:chOff x="18557628" y="410308"/>
          <a:chExt cx="750277" cy="808892"/>
        </a:xfrm>
      </xdr:grpSpPr>
      <xdr:pic>
        <xdr:nvPicPr>
          <xdr:cNvPr id="16" name="Graphic 15" descr="Home outline">
            <a:hlinkClick xmlns:r="http://schemas.openxmlformats.org/officeDocument/2006/relationships" r:id="rId5"/>
            <a:extLst>
              <a:ext uri="{FF2B5EF4-FFF2-40B4-BE49-F238E27FC236}">
                <a16:creationId xmlns:a16="http://schemas.microsoft.com/office/drawing/2014/main" id="{C16AB9BC-5FDD-AFE4-615B-F28D171E99A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8604519" y="410308"/>
            <a:ext cx="504093" cy="507072"/>
          </a:xfrm>
          <a:prstGeom prst="rect">
            <a:avLst/>
          </a:prstGeom>
        </xdr:spPr>
      </xdr:pic>
      <xdr:sp macro="" textlink="">
        <xdr:nvSpPr>
          <xdr:cNvPr id="17" name="TextBox 16">
            <a:hlinkClick xmlns:r="http://schemas.openxmlformats.org/officeDocument/2006/relationships" r:id="rId5"/>
            <a:extLst>
              <a:ext uri="{FF2B5EF4-FFF2-40B4-BE49-F238E27FC236}">
                <a16:creationId xmlns:a16="http://schemas.microsoft.com/office/drawing/2014/main" id="{C4A55EE4-9D0E-9C0F-1A30-62AFE2FA7311}"/>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twoCellAnchor>
    <xdr:from>
      <xdr:col>21</xdr:col>
      <xdr:colOff>0</xdr:colOff>
      <xdr:row>41</xdr:row>
      <xdr:rowOff>395415</xdr:rowOff>
    </xdr:from>
    <xdr:to>
      <xdr:col>40</xdr:col>
      <xdr:colOff>497115</xdr:colOff>
      <xdr:row>45</xdr:row>
      <xdr:rowOff>21691</xdr:rowOff>
    </xdr:to>
    <xdr:sp macro="" textlink="">
      <xdr:nvSpPr>
        <xdr:cNvPr id="6" name="TextBox 5">
          <a:extLst>
            <a:ext uri="{FF2B5EF4-FFF2-40B4-BE49-F238E27FC236}">
              <a16:creationId xmlns:a16="http://schemas.microsoft.com/office/drawing/2014/main" id="{5BA833A9-CFC9-4679-8947-94D59EF86760}"/>
            </a:ext>
          </a:extLst>
        </xdr:cNvPr>
        <xdr:cNvSpPr txBox="1"/>
      </xdr:nvSpPr>
      <xdr:spPr>
        <a:xfrm>
          <a:off x="25450800" y="25131107"/>
          <a:ext cx="12079515" cy="1923999"/>
        </a:xfrm>
        <a:prstGeom prst="rect">
          <a:avLst/>
        </a:prstGeom>
        <a:solidFill>
          <a:srgbClr val="FFC0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rPr>
            <a:t>                1. Definir os valores de transferência modal (TM), </a:t>
          </a:r>
          <a:r>
            <a:rPr kumimoji="0" lang="en-GB" sz="1400" b="1" i="0" u="none" strike="noStrike" kern="0" cap="none" spc="0" normalizeH="0" baseline="0" noProof="0">
              <a:ln>
                <a:noFill/>
              </a:ln>
              <a:solidFill>
                <a:srgbClr val="993300"/>
              </a:solidFill>
              <a:effectLst/>
              <a:uLnTx/>
              <a:uFillTx/>
              <a:latin typeface="Aptos" panose="020B0004020202020204" pitchFamily="34" charset="0"/>
              <a:ea typeface="+mn-ea"/>
              <a:cs typeface="+mn-cs"/>
            </a:rPr>
            <a:t>quando aplicável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1"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rPr>
            <a:t>                2. Especificar a fonte dos dados e a metodologia utilizada para estimar as transferências modais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r>
            <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rPr>
            <a:t>               3. Os valores introduzidos para as TM devem somar 100%</a:t>
          </a:r>
        </a:p>
        <a:p>
          <a:endPar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endParaRPr>
        </a:p>
        <a:p>
          <a:r>
            <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rPr>
            <a:t>               4. A calculadora não tem valores por defeito para as TM (barco elétrico)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xdr:txBody>
    </xdr:sp>
    <xdr:clientData/>
  </xdr:twoCellAnchor>
  <xdr:twoCellAnchor editAs="oneCell">
    <xdr:from>
      <xdr:col>43</xdr:col>
      <xdr:colOff>360075</xdr:colOff>
      <xdr:row>21</xdr:row>
      <xdr:rowOff>0</xdr:rowOff>
    </xdr:from>
    <xdr:to>
      <xdr:col>44</xdr:col>
      <xdr:colOff>365013</xdr:colOff>
      <xdr:row>22</xdr:row>
      <xdr:rowOff>51523</xdr:rowOff>
    </xdr:to>
    <xdr:pic>
      <xdr:nvPicPr>
        <xdr:cNvPr id="13" name="Graphic 12" descr="CheckList with solid fill">
          <a:hlinkClick xmlns:r="http://schemas.openxmlformats.org/officeDocument/2006/relationships" r:id="rId8"/>
          <a:extLst>
            <a:ext uri="{FF2B5EF4-FFF2-40B4-BE49-F238E27FC236}">
              <a16:creationId xmlns:a16="http://schemas.microsoft.com/office/drawing/2014/main" id="{CEEAEB94-FDE5-4DE1-85A6-4C05C1B67C3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9222075" y="9003323"/>
          <a:ext cx="614538" cy="625954"/>
        </a:xfrm>
        <a:prstGeom prst="rect">
          <a:avLst/>
        </a:prstGeom>
      </xdr:spPr>
    </xdr:pic>
    <xdr:clientData/>
  </xdr:twoCellAnchor>
  <xdr:twoCellAnchor>
    <xdr:from>
      <xdr:col>20</xdr:col>
      <xdr:colOff>0</xdr:colOff>
      <xdr:row>31</xdr:row>
      <xdr:rowOff>67169</xdr:rowOff>
    </xdr:from>
    <xdr:to>
      <xdr:col>39</xdr:col>
      <xdr:colOff>497115</xdr:colOff>
      <xdr:row>35</xdr:row>
      <xdr:rowOff>185814</xdr:rowOff>
    </xdr:to>
    <xdr:sp macro="" textlink="">
      <xdr:nvSpPr>
        <xdr:cNvPr id="20" name="TextBox 19">
          <a:extLst>
            <a:ext uri="{FF2B5EF4-FFF2-40B4-BE49-F238E27FC236}">
              <a16:creationId xmlns:a16="http://schemas.microsoft.com/office/drawing/2014/main" id="{C5031D68-5F29-45D8-9BFE-D64B7207336C}"/>
            </a:ext>
          </a:extLst>
        </xdr:cNvPr>
        <xdr:cNvSpPr txBox="1"/>
      </xdr:nvSpPr>
      <xdr:spPr>
        <a:xfrm>
          <a:off x="24841200" y="19644707"/>
          <a:ext cx="12079515" cy="1923999"/>
        </a:xfrm>
        <a:prstGeom prst="rect">
          <a:avLst/>
        </a:prstGeom>
        <a:solidFill>
          <a:srgbClr val="FFC0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rPr>
            <a:t>                1. Definir os valores de transferência modal (TM), </a:t>
          </a:r>
          <a:r>
            <a:rPr kumimoji="0" lang="en-GB" sz="1400" b="1" i="0" u="none" strike="noStrike" kern="0" cap="none" spc="0" normalizeH="0" baseline="0" noProof="0">
              <a:ln>
                <a:noFill/>
              </a:ln>
              <a:solidFill>
                <a:srgbClr val="993300"/>
              </a:solidFill>
              <a:effectLst/>
              <a:uLnTx/>
              <a:uFillTx/>
              <a:latin typeface="Aptos" panose="020B0004020202020204" pitchFamily="34" charset="0"/>
              <a:ea typeface="+mn-ea"/>
              <a:cs typeface="+mn-cs"/>
            </a:rPr>
            <a:t>quando aplicável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1"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rPr>
            <a:t>                2. Especificar a fonte dos dados e a metodologia utilizada para estimar as transferências modais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r>
            <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rPr>
            <a:t>               3. Os valores introduzidos para as TM devem somar 100%</a:t>
          </a:r>
        </a:p>
        <a:p>
          <a:endPar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endParaRPr>
        </a:p>
        <a:p>
          <a:r>
            <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rPr>
            <a:t>               4. A calculadora não tem valores por defeito para as TM (barco elétrico)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xdr:txBody>
    </xdr:sp>
    <xdr:clientData/>
  </xdr:twoCellAnchor>
  <xdr:twoCellAnchor editAs="oneCell">
    <xdr:from>
      <xdr:col>42</xdr:col>
      <xdr:colOff>360075</xdr:colOff>
      <xdr:row>12</xdr:row>
      <xdr:rowOff>0</xdr:rowOff>
    </xdr:from>
    <xdr:to>
      <xdr:col>43</xdr:col>
      <xdr:colOff>365013</xdr:colOff>
      <xdr:row>13</xdr:row>
      <xdr:rowOff>321154</xdr:rowOff>
    </xdr:to>
    <xdr:pic>
      <xdr:nvPicPr>
        <xdr:cNvPr id="21" name="Graphic 20" descr="CheckList with solid fill">
          <a:hlinkClick xmlns:r="http://schemas.openxmlformats.org/officeDocument/2006/relationships" r:id="rId8"/>
          <a:extLst>
            <a:ext uri="{FF2B5EF4-FFF2-40B4-BE49-F238E27FC236}">
              <a16:creationId xmlns:a16="http://schemas.microsoft.com/office/drawing/2014/main" id="{F82B6843-D02A-4C1F-B1F2-0B20175325B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8612475" y="3516923"/>
          <a:ext cx="614538" cy="625954"/>
        </a:xfrm>
        <a:prstGeom prst="rect">
          <a:avLst/>
        </a:prstGeom>
      </xdr:spPr>
    </xdr:pic>
    <xdr:clientData/>
  </xdr:twoCellAnchor>
  <xdr:twoCellAnchor>
    <xdr:from>
      <xdr:col>43</xdr:col>
      <xdr:colOff>255563</xdr:colOff>
      <xdr:row>12</xdr:row>
      <xdr:rowOff>21104</xdr:rowOff>
    </xdr:from>
    <xdr:to>
      <xdr:col>52</xdr:col>
      <xdr:colOff>515425</xdr:colOff>
      <xdr:row>13</xdr:row>
      <xdr:rowOff>103167</xdr:rowOff>
    </xdr:to>
    <xdr:sp macro="" textlink="">
      <xdr:nvSpPr>
        <xdr:cNvPr id="22" name="TextBox 21">
          <a:hlinkClick xmlns:r="http://schemas.openxmlformats.org/officeDocument/2006/relationships" r:id="rId8"/>
          <a:extLst>
            <a:ext uri="{FF2B5EF4-FFF2-40B4-BE49-F238E27FC236}">
              <a16:creationId xmlns:a16="http://schemas.microsoft.com/office/drawing/2014/main" id="{6F2064C0-D4F5-4601-9228-531288924647}"/>
            </a:ext>
          </a:extLst>
        </xdr:cNvPr>
        <xdr:cNvSpPr txBox="1"/>
      </xdr:nvSpPr>
      <xdr:spPr>
        <a:xfrm>
          <a:off x="39117563" y="3538027"/>
          <a:ext cx="5746262" cy="386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GB" sz="1600" b="1" i="0" u="none" baseline="0">
              <a:solidFill>
                <a:srgbClr val="993300"/>
              </a:solidFill>
              <a:effectLst/>
              <a:latin typeface="Aptos" panose="020B0004020202020204" pitchFamily="34" charset="0"/>
              <a:ea typeface="+mn-ea"/>
              <a:cs typeface="+mn-cs"/>
            </a:rPr>
            <a:t>Sumário de Resultados das várias componentes do projeto </a:t>
          </a:r>
        </a:p>
      </xdr:txBody>
    </xdr:sp>
    <xdr:clientData/>
  </xdr:twoCellAnchor>
  <xdr:twoCellAnchor>
    <xdr:from>
      <xdr:col>6</xdr:col>
      <xdr:colOff>2497020</xdr:colOff>
      <xdr:row>120</xdr:row>
      <xdr:rowOff>117230</xdr:rowOff>
    </xdr:from>
    <xdr:to>
      <xdr:col>13</xdr:col>
      <xdr:colOff>550989</xdr:colOff>
      <xdr:row>130</xdr:row>
      <xdr:rowOff>246183</xdr:rowOff>
    </xdr:to>
    <xdr:graphicFrame macro="">
      <xdr:nvGraphicFramePr>
        <xdr:cNvPr id="5" name="Chart 4">
          <a:extLst>
            <a:ext uri="{FF2B5EF4-FFF2-40B4-BE49-F238E27FC236}">
              <a16:creationId xmlns:a16="http://schemas.microsoft.com/office/drawing/2014/main" id="{690C5DA3-86CC-423D-9657-A419F390D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328246</xdr:colOff>
      <xdr:row>4</xdr:row>
      <xdr:rowOff>93784</xdr:rowOff>
    </xdr:from>
    <xdr:to>
      <xdr:col>9</xdr:col>
      <xdr:colOff>761999</xdr:colOff>
      <xdr:row>5</xdr:row>
      <xdr:rowOff>145548</xdr:rowOff>
    </xdr:to>
    <xdr:sp macro="" textlink="">
      <xdr:nvSpPr>
        <xdr:cNvPr id="15" name="Flowchart: Connector 14">
          <a:extLst>
            <a:ext uri="{FF2B5EF4-FFF2-40B4-BE49-F238E27FC236}">
              <a16:creationId xmlns:a16="http://schemas.microsoft.com/office/drawing/2014/main" id="{7649E8FE-6D3D-4E94-92B7-72182BF74611}"/>
            </a:ext>
          </a:extLst>
        </xdr:cNvPr>
        <xdr:cNvSpPr/>
      </xdr:nvSpPr>
      <xdr:spPr>
        <a:xfrm>
          <a:off x="13047784" y="2028092"/>
          <a:ext cx="1055077" cy="297948"/>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9</xdr:col>
      <xdr:colOff>1488831</xdr:colOff>
      <xdr:row>1</xdr:row>
      <xdr:rowOff>35169</xdr:rowOff>
    </xdr:from>
    <xdr:to>
      <xdr:col>10</xdr:col>
      <xdr:colOff>1263162</xdr:colOff>
      <xdr:row>4</xdr:row>
      <xdr:rowOff>85481</xdr:rowOff>
    </xdr:to>
    <xdr:grpSp>
      <xdr:nvGrpSpPr>
        <xdr:cNvPr id="9" name="Group 8">
          <a:hlinkClick xmlns:r="http://schemas.openxmlformats.org/officeDocument/2006/relationships" r:id="rId10"/>
          <a:extLst>
            <a:ext uri="{FF2B5EF4-FFF2-40B4-BE49-F238E27FC236}">
              <a16:creationId xmlns:a16="http://schemas.microsoft.com/office/drawing/2014/main" id="{5FEFDC74-9E6A-4614-ADB3-6DB88C54D14A}"/>
            </a:ext>
          </a:extLst>
        </xdr:cNvPr>
        <xdr:cNvGrpSpPr/>
      </xdr:nvGrpSpPr>
      <xdr:grpSpPr>
        <a:xfrm>
          <a:off x="15121487" y="332825"/>
          <a:ext cx="1738863" cy="1211172"/>
          <a:chOff x="17335500" y="165100"/>
          <a:chExt cx="1790700" cy="1187450"/>
        </a:xfrm>
      </xdr:grpSpPr>
      <xdr:pic>
        <xdr:nvPicPr>
          <xdr:cNvPr id="10" name="Graphic 9" descr="Badge Question Mark outline">
            <a:extLst>
              <a:ext uri="{FF2B5EF4-FFF2-40B4-BE49-F238E27FC236}">
                <a16:creationId xmlns:a16="http://schemas.microsoft.com/office/drawing/2014/main" id="{D64CA719-E16E-C4EB-AD3C-B45EA03B4FBF}"/>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7802226" y="165100"/>
            <a:ext cx="638175" cy="638175"/>
          </a:xfrm>
          <a:prstGeom prst="rect">
            <a:avLst/>
          </a:prstGeom>
        </xdr:spPr>
      </xdr:pic>
      <xdr:sp macro="" textlink="">
        <xdr:nvSpPr>
          <xdr:cNvPr id="19" name="TextBox 18">
            <a:hlinkClick xmlns:r="http://schemas.openxmlformats.org/officeDocument/2006/relationships" r:id="rId10"/>
            <a:extLst>
              <a:ext uri="{FF2B5EF4-FFF2-40B4-BE49-F238E27FC236}">
                <a16:creationId xmlns:a16="http://schemas.microsoft.com/office/drawing/2014/main" id="{2B08CB36-D58E-C87F-6C13-8ECC0662CD04}"/>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10</xdr:col>
      <xdr:colOff>1219203</xdr:colOff>
      <xdr:row>1</xdr:row>
      <xdr:rowOff>105507</xdr:rowOff>
    </xdr:from>
    <xdr:to>
      <xdr:col>11</xdr:col>
      <xdr:colOff>515817</xdr:colOff>
      <xdr:row>3</xdr:row>
      <xdr:rowOff>23446</xdr:rowOff>
    </xdr:to>
    <xdr:grpSp>
      <xdr:nvGrpSpPr>
        <xdr:cNvPr id="2" name="Group 1">
          <a:hlinkClick xmlns:r="http://schemas.openxmlformats.org/officeDocument/2006/relationships" r:id="rId13"/>
          <a:extLst>
            <a:ext uri="{FF2B5EF4-FFF2-40B4-BE49-F238E27FC236}">
              <a16:creationId xmlns:a16="http://schemas.microsoft.com/office/drawing/2014/main" id="{386C3813-517E-1DCF-02E1-C613B69D13F4}"/>
            </a:ext>
          </a:extLst>
        </xdr:cNvPr>
        <xdr:cNvGrpSpPr/>
      </xdr:nvGrpSpPr>
      <xdr:grpSpPr>
        <a:xfrm>
          <a:off x="16816391" y="403163"/>
          <a:ext cx="814660" cy="825791"/>
          <a:chOff x="17783906" y="410307"/>
          <a:chExt cx="855784" cy="808893"/>
        </a:xfrm>
      </xdr:grpSpPr>
      <xdr:sp macro="" textlink="">
        <xdr:nvSpPr>
          <xdr:cNvPr id="26" name="TextBox 25">
            <a:hlinkClick xmlns:r="http://schemas.openxmlformats.org/officeDocument/2006/relationships" r:id="rId13"/>
            <a:extLst>
              <a:ext uri="{FF2B5EF4-FFF2-40B4-BE49-F238E27FC236}">
                <a16:creationId xmlns:a16="http://schemas.microsoft.com/office/drawing/2014/main" id="{DDAC2D3E-CD13-430B-87D1-113C6034B163}"/>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28" name="Graphic 27" descr="List outline">
            <a:extLst>
              <a:ext uri="{FF2B5EF4-FFF2-40B4-BE49-F238E27FC236}">
                <a16:creationId xmlns:a16="http://schemas.microsoft.com/office/drawing/2014/main" id="{9EAE5913-9D46-766F-8287-86B899DEF454}"/>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901138" y="410307"/>
            <a:ext cx="539260" cy="531557"/>
          </a:xfrm>
          <a:prstGeom prst="rect">
            <a:avLst/>
          </a:prstGeom>
        </xdr:spPr>
      </xdr:pic>
    </xdr:grpSp>
    <xdr:clientData/>
  </xdr:twoCellAnchor>
  <xdr:twoCellAnchor>
    <xdr:from>
      <xdr:col>8</xdr:col>
      <xdr:colOff>293076</xdr:colOff>
      <xdr:row>20</xdr:row>
      <xdr:rowOff>155526</xdr:rowOff>
    </xdr:from>
    <xdr:to>
      <xdr:col>9</xdr:col>
      <xdr:colOff>761999</xdr:colOff>
      <xdr:row>21</xdr:row>
      <xdr:rowOff>167249</xdr:rowOff>
    </xdr:to>
    <xdr:sp macro="" textlink="">
      <xdr:nvSpPr>
        <xdr:cNvPr id="38" name="Flowchart: Connector 37">
          <a:extLst>
            <a:ext uri="{FF2B5EF4-FFF2-40B4-BE49-F238E27FC236}">
              <a16:creationId xmlns:a16="http://schemas.microsoft.com/office/drawing/2014/main" id="{2F1E3C2D-4D87-418F-A855-322B4E2762CE}"/>
            </a:ext>
          </a:extLst>
        </xdr:cNvPr>
        <xdr:cNvSpPr/>
      </xdr:nvSpPr>
      <xdr:spPr>
        <a:xfrm>
          <a:off x="13704276" y="7826326"/>
          <a:ext cx="1088683" cy="316523"/>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editAs="oneCell">
    <xdr:from>
      <xdr:col>0</xdr:col>
      <xdr:colOff>234462</xdr:colOff>
      <xdr:row>167</xdr:row>
      <xdr:rowOff>222738</xdr:rowOff>
    </xdr:from>
    <xdr:to>
      <xdr:col>2</xdr:col>
      <xdr:colOff>715108</xdr:colOff>
      <xdr:row>170</xdr:row>
      <xdr:rowOff>222738</xdr:rowOff>
    </xdr:to>
    <xdr:pic>
      <xdr:nvPicPr>
        <xdr:cNvPr id="3" name="Graphic 2" descr="CheckList outline">
          <a:hlinkClick xmlns:r="http://schemas.openxmlformats.org/officeDocument/2006/relationships" r:id="rId1"/>
          <a:extLst>
            <a:ext uri="{FF2B5EF4-FFF2-40B4-BE49-F238E27FC236}">
              <a16:creationId xmlns:a16="http://schemas.microsoft.com/office/drawing/2014/main" id="{80D9BBD5-4A30-17F0-DE5B-7C8287179842}"/>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234462" y="99610984"/>
          <a:ext cx="914400" cy="914400"/>
        </a:xfrm>
        <a:prstGeom prst="rect">
          <a:avLst/>
        </a:prstGeom>
      </xdr:spPr>
    </xdr:pic>
    <xdr:clientData/>
  </xdr:twoCellAnchor>
  <xdr:twoCellAnchor editAs="oneCell">
    <xdr:from>
      <xdr:col>4</xdr:col>
      <xdr:colOff>187569</xdr:colOff>
      <xdr:row>1</xdr:row>
      <xdr:rowOff>140677</xdr:rowOff>
    </xdr:from>
    <xdr:to>
      <xdr:col>4</xdr:col>
      <xdr:colOff>890954</xdr:colOff>
      <xdr:row>1</xdr:row>
      <xdr:rowOff>844062</xdr:rowOff>
    </xdr:to>
    <xdr:pic>
      <xdr:nvPicPr>
        <xdr:cNvPr id="18" name="Graphic 17" descr="Bus outline">
          <a:extLst>
            <a:ext uri="{FF2B5EF4-FFF2-40B4-BE49-F238E27FC236}">
              <a16:creationId xmlns:a16="http://schemas.microsoft.com/office/drawing/2014/main" id="{E2BE7BF3-688C-FD39-6DA1-0928DE17EAA3}"/>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5697415" y="445477"/>
          <a:ext cx="703385" cy="7033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ago\Desktop\Calculadora%20APA\Base\ferramenta_ghg_protocol_v2023.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y%20Drive\Work\Projects\APA\APA%20-%20proj\calculadora_hc_tcm30-485617.xlsx" TargetMode="External"/><Relationship Id="rId1" Type="http://schemas.openxmlformats.org/officeDocument/2006/relationships/externalLinkPath" Target="/My%20Drive/Work/Projects/APA/APA%20-%20proj/calculadora_hc_tcm30-4856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iago\Desktop\Calculadora%20APA\Trabalho\Calculadora%20do%20Pro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de agricultura"/>
      <sheetName val="Mudança no uso do solo"/>
      <sheetName val="Resíduos sólidos"/>
      <sheetName val="Efluentes"/>
      <sheetName val="En. elétrica (localização)"/>
      <sheetName val="Perdas T&amp;D (abord. localização)"/>
      <sheetName val="Compra de Energia Térmica"/>
      <sheetName val="En. elétrica(escolha de compra)"/>
      <sheetName val="Perdas T&amp;D (escolha de compra)"/>
      <sheetName val="Categorias de Escopo 3"/>
      <sheetName val="Transp.&amp; Distribuição(Upstream)"/>
      <sheetName val="Resíduos sólidos da operação"/>
      <sheetName val="Efluentes gerados na operação"/>
      <sheetName val="Viagens a Negócios"/>
      <sheetName val="Deslocamento casa-trabalho"/>
      <sheetName val="Transp&amp;Distribuição(Downstream)"/>
      <sheetName val="Resumo"/>
      <sheetName val="Registro Público de Emissões"/>
      <sheetName val="Fatores de Emissão"/>
      <sheetName val="Fatores Variáveis"/>
      <sheetName val="Fugitivas - GEE não Quioto"/>
      <sheetName val="Aeroportos"/>
      <sheetName val="Fatores de conversão"/>
    </sheetNames>
    <sheetDataSet>
      <sheetData sheetId="0" refreshError="1"/>
      <sheetData sheetId="1" refreshError="1">
        <row r="11">
          <cell r="B11" t="str">
            <v>Versão 2023.0.1</v>
          </cell>
        </row>
      </sheetData>
      <sheetData sheetId="2" refreshError="1"/>
      <sheetData sheetId="3" refreshError="1">
        <row r="25">
          <cell r="E25">
            <v>2022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sheetName val="1.Datos generales organización "/>
      <sheetName val="2. Hoja de trabajo. Consumos"/>
      <sheetName val="3. Instalaciones fijas"/>
      <sheetName val="4. Vehículos y maquinaria"/>
      <sheetName val="5. Emisiones Fugitivas"/>
      <sheetName val="6. Emisiones de proceso"/>
      <sheetName val="7. Información adicional"/>
      <sheetName val="8.Electricidad y otras energías"/>
      <sheetName val="9. Informe final. Resultados"/>
      <sheetName val="10. Factores de emisión"/>
      <sheetName val="11. Revisiones calculadora"/>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0">
          <cell r="C710" t="str">
            <v>CO2</v>
          </cell>
        </row>
        <row r="711">
          <cell r="C711" t="str">
            <v>CH4</v>
          </cell>
        </row>
        <row r="712">
          <cell r="C712" t="str">
            <v>N2O</v>
          </cell>
        </row>
        <row r="713">
          <cell r="C713" t="str">
            <v>SF6</v>
          </cell>
        </row>
        <row r="714">
          <cell r="C714" t="str">
            <v>NF3</v>
          </cell>
        </row>
        <row r="715">
          <cell r="C715" t="str">
            <v>HCFE-235da2</v>
          </cell>
        </row>
        <row r="716">
          <cell r="C716" t="str">
            <v>HFE-236ea2</v>
          </cell>
        </row>
        <row r="717">
          <cell r="C717" t="str">
            <v>HFE-347mmz1</v>
          </cell>
        </row>
        <row r="718">
          <cell r="C718" t="str">
            <v>C2F6(PFC-116)</v>
          </cell>
        </row>
        <row r="719">
          <cell r="C719" t="str">
            <v>C3F8 (PFC-218)</v>
          </cell>
        </row>
        <row r="720">
          <cell r="C720" t="str">
            <v>Otro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trodução"/>
      <sheetName val="Combustão estacionária"/>
      <sheetName val="Combustão móvel"/>
      <sheetName val="Emissões fugitivas"/>
      <sheetName val="Processos industriais"/>
      <sheetName val="Agrícolas e uso do solo"/>
      <sheetName val="Resíduos sólidos"/>
      <sheetName val="Listas"/>
      <sheetName val="Efluentes"/>
      <sheetName val="Compra de Energia Elétrica"/>
      <sheetName val="Compra de Energia Térmica"/>
      <sheetName val="Transp.&amp; Distribuição(Upstream)"/>
      <sheetName val="Resíduos sólidos da operação"/>
      <sheetName val="Efluentes gerados na operação"/>
      <sheetName val="Viagens a negócios"/>
      <sheetName val="Fatores de Emissão"/>
      <sheetName val="Permuta casa-trabalho"/>
      <sheetName val="Transp&amp;Distribuição(Downstream)"/>
      <sheetName val="Categorias de Ambito 3"/>
      <sheetName val="Resumo"/>
      <sheetName val="GRI"/>
      <sheetName val="Conversão Unidades"/>
    </sheetNames>
    <sheetDataSet>
      <sheetData sheetId="0"/>
      <sheetData sheetId="1"/>
      <sheetData sheetId="2"/>
      <sheetData sheetId="3"/>
      <sheetData sheetId="4"/>
      <sheetData sheetId="5"/>
      <sheetData sheetId="6"/>
      <sheetData sheetId="7"/>
      <sheetData sheetId="8">
        <row r="2">
          <cell r="D2" t="str">
            <v>Selecione o setor</v>
          </cell>
        </row>
        <row r="3">
          <cell r="D3" t="str">
            <v>Energia</v>
          </cell>
        </row>
        <row r="4">
          <cell r="D4" t="str">
            <v>Manufatura ou Construção</v>
          </cell>
        </row>
        <row r="5">
          <cell r="D5" t="str">
            <v>Comercial ou Institucional</v>
          </cell>
        </row>
        <row r="6">
          <cell r="D6" t="str">
            <v>Residencial, Agricultura, Florestal ou Pesca</v>
          </cell>
        </row>
      </sheetData>
      <sheetData sheetId="9"/>
      <sheetData sheetId="10"/>
      <sheetData sheetId="11"/>
      <sheetData sheetId="12">
        <row r="350">
          <cell r="F350">
            <v>0</v>
          </cell>
        </row>
      </sheetData>
      <sheetData sheetId="13"/>
      <sheetData sheetId="14"/>
      <sheetData sheetId="15"/>
      <sheetData sheetId="16">
        <row r="235">
          <cell r="E235">
            <v>1</v>
          </cell>
        </row>
        <row r="236">
          <cell r="E236">
            <v>25</v>
          </cell>
        </row>
        <row r="237">
          <cell r="E237">
            <v>298</v>
          </cell>
        </row>
      </sheetData>
      <sheetData sheetId="17"/>
      <sheetData sheetId="18"/>
      <sheetData sheetId="19"/>
      <sheetData sheetId="20"/>
      <sheetData sheetId="21"/>
      <sheetData sheetId="22"/>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Ricardo da Silva Vieira" id="{8ACBE6CD-2E6B-4A5E-A213-E8F9C2DFCBCD}" userId="f23a8ae3181923b9" providerId="Windows Live"/>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5" dT="2025-08-18T09:48:39.22" personId="{8ACBE6CD-2E6B-4A5E-A213-E8F9C2DFCBCD}" id="{3C4C21E3-CC7F-446E-8895-7B1A16DD8479}">
    <text>De acordo com os dados do INE: nr de veiculos? Fração de energia consumida?</text>
  </threadedComment>
  <threadedComment ref="C55" dT="2025-08-18T09:50:24.81" personId="{8ACBE6CD-2E6B-4A5E-A213-E8F9C2DFCBCD}" id="{FE7F05C8-D3DC-40F6-822D-5BD5DF02E401}">
    <text xml:space="preserve">Não estão a somar 100%
</text>
  </threadedComment>
</ThreadedComments>
</file>

<file path=xl/threadedComments/threadedComment2.xml><?xml version="1.0" encoding="utf-8"?>
<ThreadedComments xmlns="http://schemas.microsoft.com/office/spreadsheetml/2018/threadedcomments" xmlns:x="http://schemas.openxmlformats.org/spreadsheetml/2006/main">
  <threadedComment ref="N9" dT="2025-08-18T09:44:33.40" personId="{8ACBE6CD-2E6B-4A5E-A213-E8F9C2DFCBCD}" id="{5E063AF3-8001-44B0-92A8-B24691D8F44E}">
    <text>As contas aqui não parecem bem</text>
  </threadedComment>
  <threadedComment ref="B37" dT="2025-08-18T09:48:39.22" personId="{8ACBE6CD-2E6B-4A5E-A213-E8F9C2DFCBCD}" id="{6475BE41-950B-40C2-8497-9C5A3223F1B3}">
    <text>De acordo com os dados do INE: nr de veiculos? Fração de energia consumida?</text>
  </threadedComment>
  <threadedComment ref="C54" dT="2025-08-18T09:50:24.81" personId="{8ACBE6CD-2E6B-4A5E-A213-E8F9C2DFCBCD}" id="{E6523AC6-E7FA-4DD3-9F09-E338B95FB770}">
    <text xml:space="preserve">Não estão a somar 100%
</text>
  </threadedComment>
</ThreadedComments>
</file>

<file path=xl/threadedComments/threadedComment3.xml><?xml version="1.0" encoding="utf-8"?>
<ThreadedComments xmlns="http://schemas.microsoft.com/office/spreadsheetml/2018/threadedcomments" xmlns:x="http://schemas.openxmlformats.org/spreadsheetml/2006/main">
  <threadedComment ref="N8" dT="2025-08-18T09:44:33.40" personId="{8ACBE6CD-2E6B-4A5E-A213-E8F9C2DFCBCD}" id="{71B90404-3B8A-4985-B586-0740D58446ED}">
    <text>As contas aqui não parecem bem</text>
  </threadedComment>
  <threadedComment ref="B37" dT="2025-08-18T09:48:39.22" personId="{8ACBE6CD-2E6B-4A5E-A213-E8F9C2DFCBCD}" id="{5AEF9992-66CD-4B04-9562-DD197F5D1CE6}">
    <text>De acordo com os dados do INE: nr de veiculos? Fração de energia consumida?</text>
  </threadedComment>
  <threadedComment ref="C53" dT="2025-08-18T09:50:24.81" personId="{8ACBE6CD-2E6B-4A5E-A213-E8F9C2DFCBCD}" id="{F8CBAFC5-09CA-4CD1-816C-82BB88FD9323}">
    <text xml:space="preserve">Não estão a somar 100%
</text>
  </threadedComment>
</ThreadedComments>
</file>

<file path=xl/threadedComments/threadedComment4.xml><?xml version="1.0" encoding="utf-8"?>
<ThreadedComments xmlns="http://schemas.microsoft.com/office/spreadsheetml/2018/threadedcomments" xmlns:x="http://schemas.openxmlformats.org/spreadsheetml/2006/main">
  <threadedComment ref="B26" dT="2025-08-18T09:48:39.22" personId="{8ACBE6CD-2E6B-4A5E-A213-E8F9C2DFCBCD}" id="{0EF9A538-2EA2-4B8E-8958-8BB1D19CACB5}">
    <text>De acordo com os dados do INE: nr de veiculos? Fração de energia consumida?</text>
  </threadedComment>
</ThreadedComments>
</file>

<file path=xl/threadedComments/threadedComment5.xml><?xml version="1.0" encoding="utf-8"?>
<ThreadedComments xmlns="http://schemas.microsoft.com/office/spreadsheetml/2018/threadedcomments" xmlns:x="http://schemas.openxmlformats.org/spreadsheetml/2006/main">
  <threadedComment ref="B42" dT="2025-08-18T09:48:39.22" personId="{8ACBE6CD-2E6B-4A5E-A213-E8F9C2DFCBCD}" id="{1BF180F8-CE75-48F7-BF69-6A474BA33191}">
    <text>De acordo com os dados do INE: nr de veiculos? Fração de energia consumida?</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hyperlink" Target="https://www.ine.pt/xportal/xmain?xpid=INE&amp;xpgid=ine_publicacoes&amp;PUBLICACOESpub_boui=349495406&amp;PUBLICACOESmodo=2&amp;xlang=pt" TargetMode="External"/><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hyperlink" Target="https://www.ine.pt/xportal/xmain?xpid=INE&amp;xpgid=ine_publicacoes&amp;PUBLICACOESpub_boui=349495406&amp;PUBLICACOESmodo=2&amp;xlang=pt" TargetMode="Externa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hyperlink" Target="https://www.ine.pt/xportal/xmain?xpid=INE&amp;xpgid=ine_publicacoes&amp;PUBLICACOESpub_boui=349495406&amp;PUBLICACOESmodo=2&amp;xlang=pt" TargetMode="External"/><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8.bin"/><Relationship Id="rId4" Type="http://schemas.microsoft.com/office/2017/10/relationships/threadedComment" Target="../threadedComments/threadedComment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8" Type="http://schemas.openxmlformats.org/officeDocument/2006/relationships/hyperlink" Target="https://www.eib.org/en/publications/20220215-eib-project-carbon-footprint-methodologies" TargetMode="External"/><Relationship Id="rId13" Type="http://schemas.openxmlformats.org/officeDocument/2006/relationships/hyperlink" Target="https://www.infraestruturasdeportugal.pt/pt-pt/terminologia?letter=M" TargetMode="External"/><Relationship Id="rId3" Type="http://schemas.openxmlformats.org/officeDocument/2006/relationships/hyperlink" Target="https://www.eib.org/en/publications/20220215-eib-project-carbon-footprint-methodologies" TargetMode="External"/><Relationship Id="rId7" Type="http://schemas.openxmlformats.org/officeDocument/2006/relationships/hyperlink" Target="https://www.eib.org/en/publications/20220215-eib-project-carbon-footprint-methodologies" TargetMode="External"/><Relationship Id="rId12" Type="http://schemas.openxmlformats.org/officeDocument/2006/relationships/hyperlink" Target="https://www.eib.org/en/publications/20220215-eib-project-carbon-footprint-methodologies" TargetMode="External"/><Relationship Id="rId2" Type="http://schemas.openxmlformats.org/officeDocument/2006/relationships/hyperlink" Target="https://www.eib.org/en/publications/20220215-eib-project-carbon-footprint-methodologies" TargetMode="External"/><Relationship Id="rId16" Type="http://schemas.openxmlformats.org/officeDocument/2006/relationships/drawing" Target="../drawings/drawing15.xml"/><Relationship Id="rId1" Type="http://schemas.openxmlformats.org/officeDocument/2006/relationships/hyperlink" Target="https://www.amt-autoridade.pt/media/4491/amt05012023_.pdf" TargetMode="External"/><Relationship Id="rId6" Type="http://schemas.openxmlformats.org/officeDocument/2006/relationships/hyperlink" Target="https://www.eib.org/en/publications/20220215-eib-project-carbon-footprint-methodologies" TargetMode="External"/><Relationship Id="rId11" Type="http://schemas.openxmlformats.org/officeDocument/2006/relationships/hyperlink" Target="https://ra2019.ine.pt/xportal/xmain?xpid=INE&amp;xpgid=ine_faqs&amp;FAQSfaq_boui=655407417&amp;FAQSmodo=1&amp;xlang=pt" TargetMode="External"/><Relationship Id="rId5" Type="http://schemas.openxmlformats.org/officeDocument/2006/relationships/hyperlink" Target="https://www.eib.org/en/publications/20220215-eib-project-carbon-footprint-methodologies" TargetMode="External"/><Relationship Id="rId15" Type="http://schemas.openxmlformats.org/officeDocument/2006/relationships/hyperlink" Target="https://smi.ine.pt/Versao/Detalhes/5215" TargetMode="External"/><Relationship Id="rId10" Type="http://schemas.openxmlformats.org/officeDocument/2006/relationships/hyperlink" Target="https://files.sciencebasedtargets.org/production/files/Land-Transport-Guidance.pdf" TargetMode="External"/><Relationship Id="rId4" Type="http://schemas.openxmlformats.org/officeDocument/2006/relationships/hyperlink" Target="https://www.eib.org/en/publications/20220215-eib-project-carbon-footprint-methodologies" TargetMode="External"/><Relationship Id="rId9" Type="http://schemas.openxmlformats.org/officeDocument/2006/relationships/hyperlink" Target="https://www.eib.org/en/publications/20220215-eib-project-carbon-footprint-methodologies" TargetMode="External"/><Relationship Id="rId14" Type="http://schemas.openxmlformats.org/officeDocument/2006/relationships/hyperlink" Target="https://www.itf-oecd.org/sites/default/files/docs/glossary-transport-statistics.pdf"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oecd.org/content/dam/oecd/en/publications/reports/2024/06/greener-micromobility_5161b98f/9aa6e85a-en.pdf" TargetMode="External"/><Relationship Id="rId13" Type="http://schemas.openxmlformats.org/officeDocument/2006/relationships/hyperlink" Target="https://www.ine.pt/xportal/xmain?xpid=INE&amp;xpgid=ine_destaques&amp;DESTAQUESdest_boui=334619442&amp;DESTAQUESmodo=2&amp;xlang=pt" TargetMode="External"/><Relationship Id="rId18" Type="http://schemas.openxmlformats.org/officeDocument/2006/relationships/drawing" Target="../drawings/drawing16.xml"/><Relationship Id="rId3" Type="http://schemas.openxmlformats.org/officeDocument/2006/relationships/hyperlink" Target="https://www.itf-oecd.org/good-go-assessing-environmental-performance-new-mobility" TargetMode="External"/><Relationship Id="rId7" Type="http://schemas.openxmlformats.org/officeDocument/2006/relationships/hyperlink" Target="https://www.oecd.org/content/dam/oecd/en/publications/reports/2024/06/greener-micromobility_5161b98f/9aa6e85a-en.pdf" TargetMode="External"/><Relationship Id="rId12" Type="http://schemas.openxmlformats.org/officeDocument/2006/relationships/hyperlink" Target="https://www.gov.uk/government/publications/greenhouse-gas-reporting-conversion-factors-2025" TargetMode="External"/><Relationship Id="rId17" Type="http://schemas.openxmlformats.org/officeDocument/2006/relationships/printerSettings" Target="../printerSettings/printerSettings9.bin"/><Relationship Id="rId2" Type="http://schemas.openxmlformats.org/officeDocument/2006/relationships/hyperlink" Target="https://www.itf-oecd.org/good-to-go-environmental-performance-new-mobility" TargetMode="External"/><Relationship Id="rId16" Type="http://schemas.openxmlformats.org/officeDocument/2006/relationships/hyperlink" Target="https://www.ine.pt/xportal/xmain?xpid=INE&amp;xpgid=ine_destaques&amp;DESTAQUESdest_boui=334619442&amp;DESTAQUESmodo=2&amp;xlang=pt" TargetMode="External"/><Relationship Id="rId20" Type="http://schemas.openxmlformats.org/officeDocument/2006/relationships/comments" Target="../comments14.xml"/><Relationship Id="rId1" Type="http://schemas.openxmlformats.org/officeDocument/2006/relationships/hyperlink" Target="https://ttsl.pt/empresa/financiamento-europeu/saiba-mais-sobre-a-nova-frota-100-eletrica/" TargetMode="External"/><Relationship Id="rId6" Type="http://schemas.openxmlformats.org/officeDocument/2006/relationships/hyperlink" Target="https://www.oecd.org/content/dam/oecd/en/publications/reports/2024/06/greener-micromobility_5161b98f/9aa6e85a-en.pdf" TargetMode="External"/><Relationship Id="rId11" Type="http://schemas.openxmlformats.org/officeDocument/2006/relationships/hyperlink" Target="https://www.gov.uk/government/publications/greenhouse-gas-reporting-conversion-factors-2025" TargetMode="External"/><Relationship Id="rId5" Type="http://schemas.openxmlformats.org/officeDocument/2006/relationships/hyperlink" Target="https://apambiente.pt/sites/default/files/_Clima/Inventarios/20250808/fe_gee_eletricidade_2025_final_apc.pdf" TargetMode="External"/><Relationship Id="rId15" Type="http://schemas.openxmlformats.org/officeDocument/2006/relationships/hyperlink" Target="https://www.ine.pt/xportal/xmain?xpid=INE&amp;xpgid=ine_destaques&amp;DESTAQUESdest_boui=334619442&amp;DESTAQUESmodo=2&amp;xlang=pt" TargetMode="External"/><Relationship Id="rId10" Type="http://schemas.openxmlformats.org/officeDocument/2006/relationships/hyperlink" Target="https://api.environdec.com/api/v1/EPDLibrary/Files/72e66890-a122-4323-c413-08dc95fad0b1/Data" TargetMode="External"/><Relationship Id="rId19" Type="http://schemas.openxmlformats.org/officeDocument/2006/relationships/vmlDrawing" Target="../drawings/vmlDrawing14.vml"/><Relationship Id="rId4" Type="http://schemas.openxmlformats.org/officeDocument/2006/relationships/hyperlink" Target="https://www.cp.pt/info/w/annual-reports" TargetMode="External"/><Relationship Id="rId9" Type="http://schemas.openxmlformats.org/officeDocument/2006/relationships/hyperlink" Target="https://www.gov.uk/government/publications/greenhouse-gas-reporting-conversion-factors-2025" TargetMode="External"/><Relationship Id="rId14" Type="http://schemas.openxmlformats.org/officeDocument/2006/relationships/hyperlink" Target="https://www.ine.pt/xportal/xmain?xpid=INE&amp;xpgid=ine_destaques&amp;DESTAQUESdest_boui=334619442&amp;DESTAQUESmodo=2&amp;xlang=pt"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portugal2030.pt/contacto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eib.org/en/publications/the-eib-group-climate-bank-roadmap" TargetMode="External"/><Relationship Id="rId2" Type="http://schemas.openxmlformats.org/officeDocument/2006/relationships/hyperlink" Target="https://portugal2030.pt/wp-content/uploads/sites/3/2023/03/2021_c373_01.pdf" TargetMode="External"/><Relationship Id="rId1" Type="http://schemas.openxmlformats.org/officeDocument/2006/relationships/hyperlink" Target="https://www.eib.org/en/publications/20220215-eib-project-carbon-footprint-methodologie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sciencedirect.com/science/article/pii/S0966692323001230" TargetMode="External"/><Relationship Id="rId1" Type="http://schemas.openxmlformats.org/officeDocument/2006/relationships/hyperlink" Target="https://www.ine.pt/xportal/xmain?xpid=INE&amp;xpgid=ine_publicacoes&amp;PUBLICACOESpub_boui=349495406&amp;PUBLICACOESmodo=2&amp;xlang=p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FE0A4-A6B4-4EA6-8B64-D89DF99637DC}">
  <sheetPr>
    <tabColor theme="1"/>
  </sheetPr>
  <dimension ref="B1:W48"/>
  <sheetViews>
    <sheetView showGridLines="0" tabSelected="1" zoomScale="80" zoomScaleNormal="80" workbookViewId="0">
      <selection activeCell="B13" sqref="B13:W13"/>
    </sheetView>
  </sheetViews>
  <sheetFormatPr defaultColWidth="8.7109375" defaultRowHeight="0" customHeight="1" zeroHeight="1" x14ac:dyDescent="0.3"/>
  <cols>
    <col min="1" max="26" width="8.7109375" style="26" customWidth="1"/>
    <col min="27" max="16384" width="8.7109375" style="26"/>
  </cols>
  <sheetData>
    <row r="1" spans="2:23" ht="18.75" x14ac:dyDescent="0.3"/>
    <row r="2" spans="2:23" ht="18.75" x14ac:dyDescent="0.3"/>
    <row r="3" spans="2:23" ht="18.75" x14ac:dyDescent="0.3"/>
    <row r="4" spans="2:23" ht="18.75" x14ac:dyDescent="0.3"/>
    <row r="5" spans="2:23" ht="18.75" x14ac:dyDescent="0.3"/>
    <row r="6" spans="2:23" ht="18.75" x14ac:dyDescent="0.3"/>
    <row r="7" spans="2:23" ht="18.75" x14ac:dyDescent="0.3"/>
    <row r="8" spans="2:23" ht="18.75" x14ac:dyDescent="0.3">
      <c r="B8"/>
    </row>
    <row r="9" spans="2:23" ht="18.75" x14ac:dyDescent="0.3"/>
    <row r="10" spans="2:23" ht="23.25" x14ac:dyDescent="0.35">
      <c r="B10" s="79"/>
    </row>
    <row r="11" spans="2:23" ht="18.75" x14ac:dyDescent="0.3">
      <c r="B11" s="80"/>
    </row>
    <row r="12" spans="2:23" ht="41.45" customHeight="1" x14ac:dyDescent="0.3">
      <c r="B12" s="1263"/>
      <c r="C12" s="1263"/>
      <c r="D12" s="1263"/>
      <c r="E12" s="1263"/>
      <c r="F12" s="1263"/>
      <c r="G12" s="1263"/>
      <c r="H12" s="1263"/>
      <c r="I12" s="1263"/>
      <c r="J12" s="1263"/>
      <c r="K12" s="1263"/>
      <c r="L12" s="1263"/>
      <c r="M12" s="1263"/>
      <c r="N12" s="1263"/>
      <c r="O12" s="1263"/>
      <c r="P12" s="1263"/>
      <c r="Q12" s="1263"/>
      <c r="R12" s="1263"/>
      <c r="S12" s="1263"/>
      <c r="T12" s="1263"/>
      <c r="U12" s="1263"/>
      <c r="V12" s="1263"/>
      <c r="W12" s="1263"/>
    </row>
    <row r="13" spans="2:23" ht="34.9" customHeight="1" x14ac:dyDescent="0.3">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row>
    <row r="14" spans="2:23" ht="12.6" customHeight="1" x14ac:dyDescent="0.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row>
    <row r="15" spans="2:23" ht="36.6" customHeight="1" x14ac:dyDescent="0.3">
      <c r="B15" s="1263"/>
      <c r="C15" s="1263"/>
      <c r="D15" s="1263"/>
      <c r="E15" s="1263"/>
      <c r="F15" s="1263"/>
      <c r="G15" s="1263"/>
      <c r="H15" s="1263"/>
      <c r="I15" s="1263"/>
      <c r="J15" s="1263"/>
      <c r="K15" s="1263"/>
      <c r="L15" s="1263"/>
      <c r="M15" s="1263"/>
      <c r="N15" s="1263"/>
      <c r="O15" s="1263"/>
      <c r="P15" s="1263"/>
      <c r="Q15" s="1263"/>
      <c r="R15" s="1263"/>
      <c r="S15" s="1263"/>
      <c r="T15" s="1263"/>
      <c r="U15" s="1263"/>
      <c r="V15" s="1263"/>
      <c r="W15" s="1263"/>
    </row>
    <row r="16" spans="2:23" ht="24.6" customHeight="1" x14ac:dyDescent="0.3">
      <c r="B16" s="81"/>
      <c r="C16" s="81"/>
      <c r="D16" s="81"/>
      <c r="E16" s="81"/>
      <c r="F16" s="81"/>
      <c r="G16" s="81"/>
      <c r="H16" s="81"/>
      <c r="I16" s="81"/>
      <c r="J16" s="81"/>
      <c r="K16" s="81"/>
      <c r="L16" s="81"/>
      <c r="M16" s="81"/>
      <c r="N16" s="81"/>
      <c r="O16" s="81"/>
      <c r="P16" s="81"/>
      <c r="Q16" s="81"/>
      <c r="R16" s="81"/>
      <c r="S16" s="81"/>
      <c r="T16" s="81"/>
      <c r="U16" s="81"/>
      <c r="V16" s="81"/>
      <c r="W16" s="81"/>
    </row>
    <row r="17" spans="2:23" ht="24.6" customHeight="1" x14ac:dyDescent="0.3">
      <c r="B17" s="81"/>
      <c r="C17" s="81"/>
      <c r="D17" s="81"/>
      <c r="E17" s="81"/>
      <c r="F17" s="81"/>
      <c r="G17" s="81"/>
      <c r="H17" s="81"/>
      <c r="I17" s="81"/>
      <c r="J17" s="81"/>
      <c r="K17" s="81"/>
      <c r="L17" s="81"/>
      <c r="M17" s="81"/>
      <c r="N17" s="81"/>
      <c r="O17" s="81"/>
      <c r="P17" s="81"/>
      <c r="Q17" s="81"/>
      <c r="R17" s="81"/>
      <c r="S17" s="81"/>
      <c r="T17" s="81"/>
      <c r="U17" s="81"/>
      <c r="V17" s="81"/>
      <c r="W17" s="81"/>
    </row>
    <row r="18" spans="2:23" ht="43.15" customHeight="1" x14ac:dyDescent="0.3">
      <c r="B18" s="81"/>
      <c r="C18" s="81"/>
      <c r="D18" s="81"/>
      <c r="E18" s="81"/>
      <c r="F18" s="81"/>
      <c r="G18" s="81"/>
      <c r="H18" s="81"/>
      <c r="I18" s="81"/>
      <c r="J18" s="81"/>
      <c r="K18" s="81"/>
      <c r="L18" s="81"/>
      <c r="M18" s="81"/>
      <c r="N18" s="81"/>
      <c r="O18" s="81"/>
      <c r="P18" s="81"/>
      <c r="Q18" s="81"/>
      <c r="R18" s="81"/>
      <c r="S18" s="81"/>
      <c r="T18" s="81"/>
      <c r="U18" s="81"/>
      <c r="V18" s="81"/>
      <c r="W18" s="81"/>
    </row>
    <row r="19" spans="2:23" ht="18.75" x14ac:dyDescent="0.3"/>
    <row r="20" spans="2:23" ht="18.75" x14ac:dyDescent="0.3"/>
    <row r="21" spans="2:23" ht="18.75" x14ac:dyDescent="0.3"/>
    <row r="22" spans="2:23" ht="18.75" x14ac:dyDescent="0.3"/>
    <row r="23" spans="2:23" ht="18.75" x14ac:dyDescent="0.3"/>
    <row r="24" spans="2:23" ht="18.75" x14ac:dyDescent="0.3"/>
    <row r="25" spans="2:23" ht="18.75" x14ac:dyDescent="0.3"/>
    <row r="26" spans="2:23" ht="18.75" x14ac:dyDescent="0.3"/>
    <row r="27" spans="2:23" ht="18.75" x14ac:dyDescent="0.3"/>
    <row r="28" spans="2:23" ht="14.45" customHeight="1" x14ac:dyDescent="0.3"/>
    <row r="29" spans="2:23" ht="14.45" customHeight="1" x14ac:dyDescent="0.3"/>
    <row r="30" spans="2:23" ht="14.45" customHeight="1" x14ac:dyDescent="0.3"/>
    <row r="31" spans="2:23" ht="14.45" customHeight="1" x14ac:dyDescent="0.3"/>
    <row r="32" spans="2:23" ht="14.45" customHeight="1" x14ac:dyDescent="0.3"/>
    <row r="33" ht="14.45" customHeight="1" x14ac:dyDescent="0.3"/>
    <row r="34" ht="14.45" customHeight="1" x14ac:dyDescent="0.3"/>
    <row r="35" ht="14.45" customHeight="1" x14ac:dyDescent="0.3"/>
    <row r="36" ht="14.45" customHeight="1" x14ac:dyDescent="0.3"/>
    <row r="37" ht="14.45" customHeight="1" x14ac:dyDescent="0.3"/>
    <row r="38" ht="14.45" customHeight="1" x14ac:dyDescent="0.3"/>
    <row r="39" ht="14.45" customHeight="1" x14ac:dyDescent="0.3"/>
    <row r="40" ht="14.45" customHeight="1" x14ac:dyDescent="0.3"/>
    <row r="41" ht="14.45" customHeight="1" x14ac:dyDescent="0.3"/>
    <row r="42" ht="14.45" customHeight="1" x14ac:dyDescent="0.3"/>
    <row r="43" ht="14.45" customHeight="1" x14ac:dyDescent="0.3"/>
    <row r="44" ht="14.45" customHeight="1" x14ac:dyDescent="0.3"/>
    <row r="45" ht="14.45" customHeight="1" x14ac:dyDescent="0.3"/>
    <row r="46" ht="14.45" customHeight="1" x14ac:dyDescent="0.3"/>
    <row r="47" ht="14.45" customHeight="1" x14ac:dyDescent="0.3"/>
    <row r="48" ht="14.45" customHeight="1" x14ac:dyDescent="0.3"/>
  </sheetData>
  <sheetProtection algorithmName="SHA-512" hashValue="WjQwExcu12+X1iEdjklqnHF7poY8QUNvKlsZZpvicrKef/yQK/gn26EbnX06KoOkoKcxjbNXLr0kVHuuK3/8yg==" saltValue="sy4zlG19h4qxqXRA/k+x/Q==" spinCount="100000" sheet="1" objects="1" scenarios="1" selectLockedCells="1" selectUnlockedCells="1"/>
  <mergeCells count="4">
    <mergeCell ref="B12:W12"/>
    <mergeCell ref="B13:W13"/>
    <mergeCell ref="B14:W14"/>
    <mergeCell ref="B15:W1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B6845-49FD-47F2-BDFC-1428921D62A0}">
  <sheetPr codeName="Sheet13">
    <tabColor rgb="FF02A39C"/>
  </sheetPr>
  <dimension ref="A2:U164"/>
  <sheetViews>
    <sheetView showGridLines="0" zoomScale="64" zoomScaleNormal="64" workbookViewId="0">
      <pane ySplit="3" topLeftCell="A4" activePane="bottomLeft" state="frozen"/>
      <selection activeCell="D13" sqref="D13"/>
      <selection pane="bottomLeft" activeCell="K6" sqref="K6:L6"/>
    </sheetView>
  </sheetViews>
  <sheetFormatPr defaultRowHeight="24" customHeight="1" x14ac:dyDescent="0.25"/>
  <cols>
    <col min="1" max="1" width="3.7109375" customWidth="1"/>
    <col min="2" max="2" width="2.7109375" customWidth="1"/>
    <col min="3" max="3" width="47.7109375" customWidth="1"/>
    <col min="4" max="4" width="26.28515625" customWidth="1"/>
    <col min="5" max="5" width="37.85546875" customWidth="1"/>
    <col min="6" max="6" width="36.7109375" customWidth="1"/>
    <col min="7" max="7" width="37.7109375" customWidth="1"/>
    <col min="8" max="8" width="2.7109375" customWidth="1"/>
    <col min="9" max="9" width="9" customWidth="1"/>
    <col min="10" max="10" width="29.42578125" customWidth="1"/>
    <col min="11" max="11" width="22.7109375" customWidth="1"/>
    <col min="12" max="12" width="37.140625" customWidth="1"/>
    <col min="13" max="13" width="21.28515625" customWidth="1"/>
    <col min="14" max="14" width="36.85546875" customWidth="1"/>
    <col min="18" max="18" width="8.5703125" customWidth="1"/>
    <col min="19" max="19" width="8.85546875" customWidth="1"/>
    <col min="20" max="20" width="40.7109375" hidden="1" customWidth="1"/>
    <col min="21" max="21" width="54.7109375" hidden="1" customWidth="1"/>
  </cols>
  <sheetData>
    <row r="2" spans="1:21" s="4" customFormat="1" ht="70.150000000000006" customHeight="1" x14ac:dyDescent="0.25">
      <c r="A2" s="297"/>
      <c r="B2" s="1497" t="s">
        <v>595</v>
      </c>
      <c r="C2" s="1497"/>
      <c r="D2" s="1497"/>
      <c r="E2" s="1497"/>
      <c r="F2" s="1497"/>
      <c r="G2" s="1497"/>
      <c r="H2" s="1497"/>
      <c r="I2" s="1497"/>
      <c r="J2" s="1497"/>
      <c r="K2" s="1497"/>
      <c r="L2" s="1497"/>
      <c r="M2" s="1497"/>
      <c r="N2" s="52"/>
      <c r="O2" s="52"/>
      <c r="P2" s="52"/>
      <c r="Q2" s="52"/>
      <c r="R2" s="52"/>
      <c r="S2" s="52"/>
      <c r="T2" s="52"/>
      <c r="U2" s="52"/>
    </row>
    <row r="3" spans="1:21" ht="1.1499999999999999" customHeight="1" x14ac:dyDescent="0.25">
      <c r="B3" s="1497"/>
      <c r="C3" s="1497"/>
      <c r="D3" s="1497"/>
      <c r="E3" s="1497"/>
      <c r="F3" s="1497"/>
      <c r="G3" s="1497"/>
      <c r="H3" s="1497"/>
      <c r="I3" s="1497"/>
      <c r="J3" s="1497"/>
      <c r="K3" s="1497"/>
      <c r="L3" s="1497"/>
      <c r="M3" s="1497"/>
    </row>
    <row r="4" spans="1:21" ht="19.899999999999999" customHeight="1" x14ac:dyDescent="0.25">
      <c r="B4" s="464"/>
      <c r="C4" s="464"/>
      <c r="D4" s="464"/>
      <c r="E4" s="464"/>
      <c r="F4" s="464"/>
      <c r="G4" s="464"/>
      <c r="H4" s="464"/>
      <c r="I4" s="464"/>
      <c r="J4" s="464"/>
      <c r="K4" s="464"/>
      <c r="L4" s="464"/>
      <c r="M4" s="464"/>
    </row>
    <row r="5" spans="1:21" ht="19.899999999999999" customHeight="1" thickBot="1" x14ac:dyDescent="0.3"/>
    <row r="6" spans="1:21" ht="40.15" customHeight="1" thickBot="1" x14ac:dyDescent="0.3">
      <c r="B6" s="66"/>
      <c r="C6" s="66" t="s">
        <v>496</v>
      </c>
      <c r="D6" s="57"/>
      <c r="E6" s="57"/>
      <c r="F6" s="57"/>
      <c r="G6" s="57"/>
      <c r="H6" s="58"/>
      <c r="I6" s="56"/>
      <c r="J6" s="562" t="s">
        <v>608</v>
      </c>
      <c r="K6" s="1412" t="s">
        <v>603</v>
      </c>
      <c r="L6" s="1413"/>
    </row>
    <row r="7" spans="1:21" ht="15" customHeight="1" x14ac:dyDescent="0.25">
      <c r="B7" s="512"/>
      <c r="C7" s="56"/>
      <c r="D7" s="56"/>
      <c r="E7" s="56"/>
      <c r="F7" s="56"/>
      <c r="G7" s="56"/>
      <c r="H7" s="511"/>
      <c r="I7" s="56"/>
      <c r="J7" s="1414" t="str">
        <f>IF(K6="","",VLOOKUP(K6,T7:U9,2,FALSE))</f>
        <v>Cálculo das emissões absolutas (Ab), das emissões emissões de referência (Be) e das emissões relativas (Re= Ab - Be)  de projetos de transporte rodoviário de passageiros que impliquem transferência modal.</v>
      </c>
      <c r="K7" s="1415"/>
      <c r="L7" s="1416"/>
      <c r="O7" s="554"/>
      <c r="P7" s="554"/>
      <c r="Q7" s="554"/>
      <c r="R7" s="554"/>
      <c r="S7" s="554"/>
      <c r="T7" s="560" t="s">
        <v>603</v>
      </c>
      <c r="U7" s="554" t="s">
        <v>838</v>
      </c>
    </row>
    <row r="8" spans="1:21" ht="24" customHeight="1" x14ac:dyDescent="0.25">
      <c r="B8" s="512"/>
      <c r="C8" s="1411" t="s">
        <v>489</v>
      </c>
      <c r="D8" s="1407"/>
      <c r="E8" s="1407"/>
      <c r="F8" s="1407"/>
      <c r="G8" s="1407"/>
      <c r="H8" s="511"/>
      <c r="I8" s="56"/>
      <c r="J8" s="1417"/>
      <c r="K8" s="1418"/>
      <c r="L8" s="1419"/>
      <c r="O8" s="553"/>
      <c r="P8" s="553"/>
      <c r="Q8" s="553"/>
      <c r="R8" s="553"/>
      <c r="S8" s="553"/>
      <c r="T8" s="560" t="s">
        <v>606</v>
      </c>
      <c r="U8" s="553" t="s">
        <v>839</v>
      </c>
    </row>
    <row r="9" spans="1:21" ht="19.899999999999999" customHeight="1" x14ac:dyDescent="0.25">
      <c r="B9" s="512"/>
      <c r="C9" s="56"/>
      <c r="D9" s="56"/>
      <c r="E9" s="56"/>
      <c r="F9" s="56"/>
      <c r="G9" s="56"/>
      <c r="H9" s="511"/>
      <c r="I9" s="56"/>
      <c r="J9" s="1417"/>
      <c r="K9" s="1418"/>
      <c r="L9" s="1419"/>
      <c r="O9" s="561"/>
      <c r="P9" s="561"/>
      <c r="Q9" s="561"/>
      <c r="R9" s="561"/>
      <c r="S9" s="561"/>
      <c r="T9" s="560" t="s">
        <v>607</v>
      </c>
      <c r="U9" s="561" t="s">
        <v>727</v>
      </c>
    </row>
    <row r="10" spans="1:21" ht="24" customHeight="1" x14ac:dyDescent="0.25">
      <c r="B10" s="59"/>
      <c r="C10" s="1498" t="s">
        <v>634</v>
      </c>
      <c r="D10" s="1499"/>
      <c r="E10" s="1499"/>
      <c r="F10" s="1499"/>
      <c r="G10" s="1499"/>
      <c r="H10" s="69"/>
      <c r="I10" s="54"/>
      <c r="J10" s="1417"/>
      <c r="K10" s="1418"/>
      <c r="L10" s="1419"/>
      <c r="T10" s="550"/>
    </row>
    <row r="11" spans="1:21" ht="42" customHeight="1" thickBot="1" x14ac:dyDescent="0.3">
      <c r="B11" s="59"/>
      <c r="C11" s="1450" t="s">
        <v>611</v>
      </c>
      <c r="D11" s="1460" t="s">
        <v>913</v>
      </c>
      <c r="E11" s="1461"/>
      <c r="F11" s="1461"/>
      <c r="G11" s="1462"/>
      <c r="H11" s="69"/>
      <c r="I11" s="54"/>
      <c r="J11" s="1420"/>
      <c r="K11" s="1421"/>
      <c r="L11" s="1422"/>
    </row>
    <row r="12" spans="1:21" ht="24" customHeight="1" x14ac:dyDescent="0.25">
      <c r="B12" s="59"/>
      <c r="C12" s="1469"/>
      <c r="D12" s="1463" t="s">
        <v>635</v>
      </c>
      <c r="E12" s="1464"/>
      <c r="F12" s="1464"/>
      <c r="G12" s="1465"/>
      <c r="H12" s="69"/>
      <c r="I12" s="54"/>
      <c r="J12" s="55"/>
      <c r="K12" s="48"/>
      <c r="T12" s="550"/>
    </row>
    <row r="13" spans="1:21" ht="24" customHeight="1" x14ac:dyDescent="0.3">
      <c r="B13" s="59"/>
      <c r="C13" s="1469"/>
      <c r="D13" s="1466" t="s">
        <v>636</v>
      </c>
      <c r="E13" s="1467"/>
      <c r="F13" s="1467"/>
      <c r="G13" s="1468"/>
      <c r="H13" s="69"/>
      <c r="I13" s="54"/>
      <c r="J13" s="55"/>
      <c r="K13" s="48"/>
      <c r="T13" s="549" t="s">
        <v>692</v>
      </c>
    </row>
    <row r="14" spans="1:21" ht="61.15" customHeight="1" x14ac:dyDescent="0.3">
      <c r="B14" s="59"/>
      <c r="C14" s="1451"/>
      <c r="D14" s="1460" t="s">
        <v>1348</v>
      </c>
      <c r="E14" s="1461"/>
      <c r="F14" s="1461"/>
      <c r="G14" s="1462"/>
      <c r="H14" s="69"/>
      <c r="I14" s="54"/>
      <c r="J14" s="207"/>
      <c r="K14" s="48"/>
      <c r="T14" s="549"/>
    </row>
    <row r="15" spans="1:21" ht="39.6" customHeight="1" x14ac:dyDescent="0.3">
      <c r="B15" s="59"/>
      <c r="C15" s="1450" t="s">
        <v>609</v>
      </c>
      <c r="D15" s="1463" t="s">
        <v>627</v>
      </c>
      <c r="E15" s="1464"/>
      <c r="F15" s="1464"/>
      <c r="G15" s="1465"/>
      <c r="H15" s="69"/>
      <c r="I15" s="54"/>
      <c r="J15" s="207"/>
      <c r="K15" s="48"/>
      <c r="T15" s="549"/>
    </row>
    <row r="16" spans="1:21" ht="24" customHeight="1" x14ac:dyDescent="0.3">
      <c r="B16" s="59"/>
      <c r="C16" s="1469"/>
      <c r="D16" s="1431" t="s">
        <v>610</v>
      </c>
      <c r="E16" s="1432"/>
      <c r="F16" s="1432"/>
      <c r="G16" s="1470"/>
      <c r="H16" s="69"/>
      <c r="I16" s="54"/>
      <c r="J16" s="207"/>
      <c r="K16" s="48"/>
      <c r="T16" s="549"/>
    </row>
    <row r="17" spans="2:21" ht="21.6" customHeight="1" x14ac:dyDescent="0.3">
      <c r="B17" s="59"/>
      <c r="C17" s="1469"/>
      <c r="D17" s="1471" t="s">
        <v>837</v>
      </c>
      <c r="E17" s="1472"/>
      <c r="F17" s="1472"/>
      <c r="G17" s="1473"/>
      <c r="H17" s="69"/>
      <c r="I17" s="54"/>
      <c r="J17" s="207"/>
      <c r="K17" s="48"/>
      <c r="T17" s="139"/>
    </row>
    <row r="18" spans="2:21" ht="49.9" customHeight="1" x14ac:dyDescent="0.3">
      <c r="B18" s="59"/>
      <c r="C18" s="1469"/>
      <c r="D18" s="1474" t="s">
        <v>1155</v>
      </c>
      <c r="E18" s="1289"/>
      <c r="F18" s="1289"/>
      <c r="G18" s="1475"/>
      <c r="H18" s="69"/>
      <c r="I18" s="54"/>
      <c r="J18" s="207"/>
      <c r="K18" s="48"/>
      <c r="T18" s="549"/>
    </row>
    <row r="19" spans="2:21" ht="49.9" customHeight="1" x14ac:dyDescent="0.3">
      <c r="B19" s="59"/>
      <c r="C19" s="1469"/>
      <c r="D19" s="1476" t="s">
        <v>726</v>
      </c>
      <c r="E19" s="1477"/>
      <c r="F19" s="1477"/>
      <c r="G19" s="1478"/>
      <c r="H19" s="69"/>
      <c r="I19" s="54"/>
      <c r="J19" s="207"/>
      <c r="K19" s="48"/>
      <c r="T19" s="549"/>
    </row>
    <row r="20" spans="2:21" ht="77.45" customHeight="1" x14ac:dyDescent="0.25">
      <c r="B20" s="59"/>
      <c r="C20" s="1451"/>
      <c r="D20" s="1460" t="s">
        <v>1157</v>
      </c>
      <c r="E20" s="1461"/>
      <c r="F20" s="1462"/>
      <c r="G20" s="1109" t="s">
        <v>81</v>
      </c>
      <c r="H20" s="69"/>
      <c r="I20" s="54"/>
      <c r="J20" s="207"/>
      <c r="K20" s="48"/>
    </row>
    <row r="21" spans="2:21" ht="24" customHeight="1" thickBot="1" x14ac:dyDescent="0.3">
      <c r="B21" s="59"/>
      <c r="C21" s="92"/>
      <c r="D21" s="92"/>
      <c r="E21" s="92"/>
      <c r="F21" s="92"/>
      <c r="G21" s="92"/>
      <c r="H21" s="69"/>
      <c r="I21" s="54"/>
      <c r="J21" s="207"/>
      <c r="K21" s="48"/>
      <c r="T21" s="563"/>
    </row>
    <row r="22" spans="2:21" ht="45.6" customHeight="1" thickBot="1" x14ac:dyDescent="0.3">
      <c r="B22" s="59"/>
      <c r="C22" s="298" t="s">
        <v>483</v>
      </c>
      <c r="D22" s="218" t="s">
        <v>3</v>
      </c>
      <c r="E22" s="219" t="s">
        <v>195</v>
      </c>
      <c r="F22" s="219" t="s">
        <v>157</v>
      </c>
      <c r="G22" s="220" t="s">
        <v>623</v>
      </c>
      <c r="H22" s="69"/>
      <c r="I22" s="54"/>
      <c r="J22" s="562" t="s">
        <v>608</v>
      </c>
      <c r="K22" s="1412" t="s">
        <v>613</v>
      </c>
      <c r="L22" s="1413"/>
    </row>
    <row r="23" spans="2:21" ht="70.150000000000006" customHeight="1" x14ac:dyDescent="0.25">
      <c r="B23" s="59"/>
      <c r="C23" s="291" t="s">
        <v>319</v>
      </c>
      <c r="D23" s="292" t="s">
        <v>617</v>
      </c>
      <c r="E23" s="339" t="s">
        <v>633</v>
      </c>
      <c r="F23" s="1104">
        <v>0.107</v>
      </c>
      <c r="G23" s="287" t="s">
        <v>482</v>
      </c>
      <c r="H23" s="69"/>
      <c r="I23" s="54"/>
      <c r="J23" s="1414" t="str">
        <f>IF(K22="","",VLOOKUP(K22,T23:U26,2,FALSE))</f>
        <v>O fator de emissão de GEE dos autocarros poderá ser consultado na declaração ambiental do produto (EPD- Environmental Product Declaration), a disponibilizar pelo fornecedor.</v>
      </c>
      <c r="K23" s="1415"/>
      <c r="L23" s="1416"/>
      <c r="M23" s="88"/>
      <c r="T23" s="41" t="s">
        <v>613</v>
      </c>
      <c r="U23" s="41" t="s">
        <v>694</v>
      </c>
    </row>
    <row r="24" spans="2:21" ht="34.9" customHeight="1" x14ac:dyDescent="0.25">
      <c r="B24" s="59"/>
      <c r="C24" s="298" t="s">
        <v>624</v>
      </c>
      <c r="D24" s="218" t="s">
        <v>3</v>
      </c>
      <c r="E24" s="219" t="s">
        <v>195</v>
      </c>
      <c r="F24" s="219" t="s">
        <v>157</v>
      </c>
      <c r="G24" s="220" t="s">
        <v>623</v>
      </c>
      <c r="H24" s="69"/>
      <c r="I24" s="54"/>
      <c r="J24" s="1417"/>
      <c r="K24" s="1418"/>
      <c r="L24" s="1419"/>
      <c r="M24" s="100"/>
      <c r="N24" s="254"/>
      <c r="O24" s="100"/>
      <c r="P24" s="100"/>
      <c r="Q24" s="100"/>
      <c r="T24" s="46" t="s">
        <v>614</v>
      </c>
      <c r="U24" s="46" t="s">
        <v>1158</v>
      </c>
    </row>
    <row r="25" spans="2:21" ht="70.150000000000006" customHeight="1" thickBot="1" x14ac:dyDescent="0.3">
      <c r="B25" s="59"/>
      <c r="C25" s="291" t="s">
        <v>689</v>
      </c>
      <c r="D25" s="292" t="s">
        <v>616</v>
      </c>
      <c r="E25" s="1105" t="s">
        <v>146</v>
      </c>
      <c r="F25" s="1105"/>
      <c r="G25" s="1239" t="s">
        <v>482</v>
      </c>
      <c r="H25" s="69"/>
      <c r="I25" s="54"/>
      <c r="J25" s="1420"/>
      <c r="K25" s="1421"/>
      <c r="L25" s="1422"/>
      <c r="M25" s="88"/>
      <c r="N25" s="88"/>
      <c r="O25" s="1449"/>
      <c r="P25" s="1449"/>
      <c r="Q25" s="1449"/>
      <c r="T25" s="554" t="s">
        <v>693</v>
      </c>
      <c r="U25" s="41" t="s">
        <v>697</v>
      </c>
    </row>
    <row r="26" spans="2:21" ht="70.150000000000006" customHeight="1" x14ac:dyDescent="0.25">
      <c r="B26" s="59"/>
      <c r="C26" s="293" t="s">
        <v>618</v>
      </c>
      <c r="D26" s="292" t="s">
        <v>616</v>
      </c>
      <c r="E26" s="1105" t="s">
        <v>146</v>
      </c>
      <c r="F26" s="1105"/>
      <c r="G26" s="1239" t="s">
        <v>482</v>
      </c>
      <c r="H26" s="69"/>
      <c r="I26" s="54"/>
      <c r="J26" s="137"/>
      <c r="K26" s="137"/>
      <c r="L26" s="137"/>
      <c r="M26" s="88"/>
      <c r="N26" s="271"/>
      <c r="O26" s="1449"/>
      <c r="P26" s="1449"/>
      <c r="Q26" s="1449"/>
      <c r="T26" s="554" t="s">
        <v>695</v>
      </c>
      <c r="U26" s="41" t="s">
        <v>696</v>
      </c>
    </row>
    <row r="27" spans="2:21" ht="34.9" customHeight="1" x14ac:dyDescent="0.25">
      <c r="B27" s="59"/>
      <c r="C27" s="310" t="s">
        <v>625</v>
      </c>
      <c r="D27" s="218" t="s">
        <v>3</v>
      </c>
      <c r="E27" s="219" t="s">
        <v>195</v>
      </c>
      <c r="F27" s="219" t="s">
        <v>157</v>
      </c>
      <c r="G27" s="220" t="s">
        <v>623</v>
      </c>
      <c r="H27" s="69"/>
      <c r="I27" s="54"/>
      <c r="N27" s="138"/>
      <c r="O27" s="1449"/>
      <c r="P27" s="1449"/>
      <c r="Q27" s="1449"/>
    </row>
    <row r="28" spans="2:21" ht="70.150000000000006" customHeight="1" x14ac:dyDescent="0.25">
      <c r="B28" s="59"/>
      <c r="C28" s="291" t="s">
        <v>691</v>
      </c>
      <c r="D28" s="292" t="s">
        <v>616</v>
      </c>
      <c r="E28" s="1105" t="s">
        <v>146</v>
      </c>
      <c r="F28" s="1105"/>
      <c r="G28" s="1239" t="s">
        <v>482</v>
      </c>
      <c r="H28" s="69"/>
      <c r="I28" s="54"/>
      <c r="N28" s="138"/>
      <c r="O28" s="256"/>
      <c r="P28" s="256"/>
      <c r="Q28" s="256"/>
    </row>
    <row r="29" spans="2:21" ht="70.150000000000006" customHeight="1" x14ac:dyDescent="0.25">
      <c r="B29" s="59"/>
      <c r="C29" s="293" t="s">
        <v>618</v>
      </c>
      <c r="D29" s="292" t="s">
        <v>616</v>
      </c>
      <c r="E29" s="1105" t="s">
        <v>146</v>
      </c>
      <c r="F29" s="1105"/>
      <c r="G29" s="1239" t="s">
        <v>482</v>
      </c>
      <c r="H29" s="69"/>
      <c r="I29" s="54"/>
      <c r="J29" s="278"/>
      <c r="K29" s="278"/>
      <c r="L29" s="278"/>
      <c r="N29" s="55"/>
      <c r="O29" s="256"/>
      <c r="P29" s="256"/>
      <c r="Q29" s="256"/>
    </row>
    <row r="30" spans="2:21" ht="48" customHeight="1" x14ac:dyDescent="0.25">
      <c r="B30" s="59"/>
      <c r="C30" s="310" t="s">
        <v>626</v>
      </c>
      <c r="D30" s="218" t="s">
        <v>3</v>
      </c>
      <c r="E30" s="219" t="s">
        <v>195</v>
      </c>
      <c r="F30" s="219" t="s">
        <v>157</v>
      </c>
      <c r="G30" s="220" t="s">
        <v>623</v>
      </c>
      <c r="H30" s="69"/>
      <c r="J30" s="565"/>
      <c r="K30" s="566"/>
      <c r="L30" s="445"/>
    </row>
    <row r="31" spans="2:21" ht="70.150000000000006" customHeight="1" x14ac:dyDescent="0.25">
      <c r="B31" s="59"/>
      <c r="C31" s="291" t="s">
        <v>698</v>
      </c>
      <c r="D31" s="292" t="s">
        <v>616</v>
      </c>
      <c r="E31" s="1105" t="s">
        <v>146</v>
      </c>
      <c r="F31" s="1105"/>
      <c r="G31" s="1239" t="s">
        <v>482</v>
      </c>
      <c r="H31" s="69"/>
      <c r="J31" s="1491"/>
      <c r="K31" s="1491"/>
      <c r="L31" s="567"/>
    </row>
    <row r="32" spans="2:21" ht="70.150000000000006" customHeight="1" x14ac:dyDescent="0.25">
      <c r="B32" s="59"/>
      <c r="C32" s="293" t="s">
        <v>618</v>
      </c>
      <c r="D32" s="292" t="s">
        <v>616</v>
      </c>
      <c r="E32" s="1105" t="s">
        <v>146</v>
      </c>
      <c r="F32" s="1105"/>
      <c r="G32" s="1239" t="s">
        <v>482</v>
      </c>
      <c r="H32" s="69"/>
      <c r="J32" s="1491"/>
      <c r="K32" s="1491"/>
      <c r="L32" s="567"/>
    </row>
    <row r="33" spans="1:13" ht="24" customHeight="1" x14ac:dyDescent="0.25">
      <c r="B33" s="59"/>
      <c r="C33" s="87"/>
      <c r="D33" s="88"/>
      <c r="E33" s="88"/>
      <c r="F33" s="88"/>
      <c r="G33" s="88"/>
      <c r="H33" s="69"/>
      <c r="I33" s="54"/>
      <c r="J33" s="1492"/>
      <c r="K33" s="1492"/>
      <c r="L33" s="1493"/>
    </row>
    <row r="34" spans="1:13" ht="24" customHeight="1" x14ac:dyDescent="0.25">
      <c r="B34" s="59"/>
      <c r="C34" s="116" t="s">
        <v>490</v>
      </c>
      <c r="D34" s="115"/>
      <c r="E34" s="115"/>
      <c r="F34" s="115"/>
      <c r="G34" s="115"/>
      <c r="H34" s="69"/>
      <c r="I34" s="54"/>
      <c r="J34" s="1492"/>
      <c r="K34" s="1492"/>
      <c r="L34" s="1493"/>
    </row>
    <row r="35" spans="1:13" ht="24" customHeight="1" x14ac:dyDescent="0.25">
      <c r="B35" s="59"/>
      <c r="C35" s="92"/>
      <c r="D35" s="92"/>
      <c r="E35" s="92"/>
      <c r="F35" s="92"/>
      <c r="G35" s="92"/>
      <c r="H35" s="69"/>
      <c r="I35" s="54"/>
    </row>
    <row r="36" spans="1:13" ht="24" customHeight="1" x14ac:dyDescent="0.25">
      <c r="B36" s="59"/>
      <c r="C36" s="1446" t="s">
        <v>634</v>
      </c>
      <c r="D36" s="1447"/>
      <c r="E36" s="1447"/>
      <c r="F36" s="1447"/>
      <c r="G36" s="1447"/>
      <c r="H36" s="69"/>
      <c r="I36" s="54"/>
    </row>
    <row r="37" spans="1:13" ht="58.15" customHeight="1" x14ac:dyDescent="0.25">
      <c r="B37" s="59"/>
      <c r="C37" s="1450" t="s">
        <v>621</v>
      </c>
      <c r="D37" s="1410" t="s">
        <v>1160</v>
      </c>
      <c r="E37" s="1410"/>
      <c r="F37" s="1410"/>
      <c r="G37" s="1410"/>
      <c r="H37" s="69"/>
      <c r="I37" s="54"/>
      <c r="J37" s="55"/>
      <c r="K37" s="48"/>
    </row>
    <row r="38" spans="1:13" s="46" customFormat="1" ht="24" customHeight="1" x14ac:dyDescent="0.25">
      <c r="B38" s="736"/>
      <c r="C38" s="1469"/>
      <c r="D38" s="1437" t="s">
        <v>1159</v>
      </c>
      <c r="E38" s="1438"/>
      <c r="F38" s="1438"/>
      <c r="G38" s="1439"/>
      <c r="H38" s="69"/>
      <c r="I38" s="54"/>
      <c r="J38" s="284"/>
      <c r="K38" s="737"/>
    </row>
    <row r="39" spans="1:13" s="46" customFormat="1" ht="156" customHeight="1" x14ac:dyDescent="0.25">
      <c r="B39" s="736"/>
      <c r="C39" s="1469"/>
      <c r="D39" s="1437" t="s">
        <v>1221</v>
      </c>
      <c r="E39" s="1438"/>
      <c r="F39" s="1438"/>
      <c r="G39" s="1439"/>
      <c r="H39" s="69"/>
      <c r="I39" s="54"/>
      <c r="J39" s="284"/>
      <c r="K39" s="737"/>
    </row>
    <row r="40" spans="1:13" ht="18" customHeight="1" x14ac:dyDescent="0.25">
      <c r="B40" s="59"/>
      <c r="C40" s="1450" t="s">
        <v>620</v>
      </c>
      <c r="D40" s="1437" t="s">
        <v>1161</v>
      </c>
      <c r="E40" s="1438"/>
      <c r="F40" s="568" t="s">
        <v>896</v>
      </c>
      <c r="G40" s="569"/>
      <c r="H40" s="69"/>
      <c r="I40" s="54"/>
      <c r="J40" s="55"/>
      <c r="K40" s="48"/>
    </row>
    <row r="41" spans="1:13" ht="25.15" customHeight="1" x14ac:dyDescent="0.25">
      <c r="B41" s="59"/>
      <c r="C41" s="1451"/>
      <c r="D41" s="570" t="s">
        <v>111</v>
      </c>
      <c r="E41" s="1502" t="s">
        <v>619</v>
      </c>
      <c r="F41" s="1502"/>
      <c r="G41" s="1503"/>
      <c r="H41" s="69"/>
      <c r="I41" s="54"/>
      <c r="J41" s="55"/>
      <c r="K41" s="48"/>
    </row>
    <row r="42" spans="1:13" ht="30" customHeight="1" x14ac:dyDescent="0.3">
      <c r="B42" s="59"/>
      <c r="C42" s="223"/>
      <c r="D42" s="211"/>
      <c r="E42" s="216"/>
      <c r="F42" s="1496"/>
      <c r="G42" s="1496"/>
      <c r="H42" s="69"/>
      <c r="I42" s="54"/>
      <c r="J42" s="55"/>
      <c r="K42" s="139"/>
      <c r="M42" s="50"/>
    </row>
    <row r="43" spans="1:13" ht="40.15" customHeight="1" x14ac:dyDescent="0.25">
      <c r="B43" s="59"/>
      <c r="C43" s="571" t="s">
        <v>612</v>
      </c>
      <c r="D43" s="573" t="s">
        <v>3</v>
      </c>
      <c r="E43" s="572" t="s">
        <v>797</v>
      </c>
      <c r="F43" s="1444" t="s">
        <v>126</v>
      </c>
      <c r="G43" s="1445"/>
      <c r="H43" s="69"/>
      <c r="I43" s="54"/>
      <c r="J43" s="55"/>
      <c r="K43" s="48"/>
    </row>
    <row r="44" spans="1:13" ht="49.9" customHeight="1" x14ac:dyDescent="0.25">
      <c r="A44" s="50"/>
      <c r="B44" s="59"/>
      <c r="C44" s="1251" t="s">
        <v>1340</v>
      </c>
      <c r="D44" s="309" t="s">
        <v>119</v>
      </c>
      <c r="E44" s="1107"/>
      <c r="F44" s="1500" t="s">
        <v>160</v>
      </c>
      <c r="G44" s="1501"/>
      <c r="H44" s="69"/>
      <c r="I44" s="54"/>
      <c r="J44" s="55"/>
      <c r="K44" s="64"/>
    </row>
    <row r="45" spans="1:13" ht="30" customHeight="1" x14ac:dyDescent="0.25">
      <c r="B45" s="59"/>
      <c r="C45" s="298" t="s">
        <v>687</v>
      </c>
      <c r="D45" s="573" t="s">
        <v>3</v>
      </c>
      <c r="E45" s="572" t="s">
        <v>86</v>
      </c>
      <c r="F45" s="1423" t="s">
        <v>126</v>
      </c>
      <c r="G45" s="1424"/>
      <c r="H45" s="69"/>
      <c r="I45" s="54"/>
      <c r="J45" s="55"/>
      <c r="K45" s="64"/>
    </row>
    <row r="46" spans="1:13" ht="71.45" customHeight="1" x14ac:dyDescent="0.25">
      <c r="B46" s="59"/>
      <c r="C46" s="293" t="s">
        <v>898</v>
      </c>
      <c r="D46" s="292" t="s">
        <v>840</v>
      </c>
      <c r="E46" s="1107"/>
      <c r="F46" s="1494" t="s">
        <v>160</v>
      </c>
      <c r="G46" s="1495"/>
      <c r="H46" s="69"/>
      <c r="I46" s="54"/>
      <c r="J46" s="54"/>
      <c r="K46" s="54"/>
      <c r="L46" s="54"/>
      <c r="M46" s="50"/>
    </row>
    <row r="47" spans="1:13" ht="62.45" customHeight="1" x14ac:dyDescent="0.25">
      <c r="B47" s="59"/>
      <c r="C47" s="293" t="s">
        <v>907</v>
      </c>
      <c r="D47" s="595" t="s">
        <v>902</v>
      </c>
      <c r="E47" s="1252"/>
      <c r="F47" s="1494" t="s">
        <v>160</v>
      </c>
      <c r="G47" s="1495"/>
      <c r="H47" s="69"/>
      <c r="I47" s="54"/>
      <c r="J47" s="54"/>
    </row>
    <row r="48" spans="1:13" ht="30" customHeight="1" x14ac:dyDescent="0.25">
      <c r="B48" s="59"/>
      <c r="C48" s="298" t="s">
        <v>688</v>
      </c>
      <c r="D48" s="573" t="s">
        <v>3</v>
      </c>
      <c r="E48" s="572" t="s">
        <v>86</v>
      </c>
      <c r="F48" s="1423" t="s">
        <v>126</v>
      </c>
      <c r="G48" s="1424"/>
      <c r="H48" s="69"/>
      <c r="I48" s="54"/>
      <c r="J48" s="54"/>
    </row>
    <row r="49" spans="2:12" ht="60" customHeight="1" x14ac:dyDescent="0.25">
      <c r="B49" s="59"/>
      <c r="C49" s="293" t="s">
        <v>898</v>
      </c>
      <c r="D49" s="292" t="s">
        <v>840</v>
      </c>
      <c r="E49" s="1107"/>
      <c r="F49" s="1494" t="s">
        <v>160</v>
      </c>
      <c r="G49" s="1495"/>
      <c r="H49" s="69"/>
      <c r="I49" s="54"/>
      <c r="J49" s="54"/>
      <c r="K49" s="54"/>
      <c r="L49" s="54"/>
    </row>
    <row r="50" spans="2:12" ht="60" customHeight="1" x14ac:dyDescent="0.25">
      <c r="B50" s="59"/>
      <c r="C50" s="293" t="s">
        <v>907</v>
      </c>
      <c r="D50" s="595" t="s">
        <v>902</v>
      </c>
      <c r="E50" s="1107"/>
      <c r="F50" s="1494" t="s">
        <v>160</v>
      </c>
      <c r="G50" s="1495"/>
      <c r="H50" s="69"/>
      <c r="I50" s="54"/>
      <c r="J50" s="54"/>
      <c r="K50" s="54"/>
      <c r="L50" s="54"/>
    </row>
    <row r="51" spans="2:12" ht="30" customHeight="1" x14ac:dyDescent="0.25">
      <c r="B51" s="59"/>
      <c r="C51" s="310" t="s">
        <v>631</v>
      </c>
      <c r="D51" s="573" t="s">
        <v>3</v>
      </c>
      <c r="E51" s="572" t="s">
        <v>86</v>
      </c>
      <c r="F51" s="1444" t="s">
        <v>126</v>
      </c>
      <c r="G51" s="1445"/>
      <c r="H51" s="69"/>
      <c r="I51" s="54"/>
      <c r="J51" s="54"/>
      <c r="K51" s="54"/>
      <c r="L51" s="54"/>
    </row>
    <row r="52" spans="2:12" ht="70.150000000000006" customHeight="1" x14ac:dyDescent="0.25">
      <c r="B52" s="59"/>
      <c r="C52" s="1230" t="s">
        <v>898</v>
      </c>
      <c r="D52" s="292" t="s">
        <v>840</v>
      </c>
      <c r="E52" s="1107"/>
      <c r="F52" s="1494" t="s">
        <v>160</v>
      </c>
      <c r="G52" s="1495"/>
      <c r="H52" s="69"/>
      <c r="I52" s="54"/>
      <c r="J52" s="54"/>
      <c r="K52" s="54"/>
      <c r="L52" s="54"/>
    </row>
    <row r="53" spans="2:12" ht="70.150000000000006" customHeight="1" x14ac:dyDescent="0.25">
      <c r="B53" s="59"/>
      <c r="C53" s="1230" t="s">
        <v>907</v>
      </c>
      <c r="D53" s="595" t="s">
        <v>902</v>
      </c>
      <c r="E53" s="1107"/>
      <c r="F53" s="1494" t="s">
        <v>160</v>
      </c>
      <c r="G53" s="1495"/>
      <c r="H53" s="69"/>
      <c r="I53" s="54"/>
      <c r="J53" s="54"/>
      <c r="K53" s="54"/>
      <c r="L53" s="54"/>
    </row>
    <row r="54" spans="2:12" ht="30" customHeight="1" x14ac:dyDescent="0.3">
      <c r="B54" s="59"/>
      <c r="C54" s="310" t="s">
        <v>632</v>
      </c>
      <c r="D54" s="573" t="s">
        <v>3</v>
      </c>
      <c r="E54" s="572" t="s">
        <v>86</v>
      </c>
      <c r="F54" s="1444" t="s">
        <v>126</v>
      </c>
      <c r="G54" s="1445"/>
      <c r="H54" s="69"/>
      <c r="I54" s="54"/>
      <c r="J54" s="94"/>
      <c r="K54" s="54"/>
      <c r="L54" s="54"/>
    </row>
    <row r="55" spans="2:12" ht="60" customHeight="1" x14ac:dyDescent="0.25">
      <c r="B55" s="59"/>
      <c r="C55" s="293" t="s">
        <v>898</v>
      </c>
      <c r="D55" s="292" t="s">
        <v>840</v>
      </c>
      <c r="E55" s="1107"/>
      <c r="F55" s="1494" t="s">
        <v>160</v>
      </c>
      <c r="G55" s="1495"/>
      <c r="H55" s="69"/>
      <c r="I55" s="54"/>
      <c r="J55" s="54"/>
      <c r="K55" s="54"/>
      <c r="L55" s="54"/>
    </row>
    <row r="56" spans="2:12" ht="60" customHeight="1" x14ac:dyDescent="0.25">
      <c r="B56" s="59"/>
      <c r="C56" s="1230" t="s">
        <v>907</v>
      </c>
      <c r="D56" s="595" t="s">
        <v>902</v>
      </c>
      <c r="E56" s="1107"/>
      <c r="F56" s="1494" t="s">
        <v>160</v>
      </c>
      <c r="G56" s="1495"/>
      <c r="H56" s="69"/>
      <c r="I56" s="54"/>
      <c r="J56" s="54"/>
      <c r="K56" s="54"/>
      <c r="L56" s="54"/>
    </row>
    <row r="57" spans="2:12" ht="50.45" customHeight="1" x14ac:dyDescent="0.25">
      <c r="B57" s="59"/>
      <c r="C57" s="310" t="s">
        <v>706</v>
      </c>
      <c r="D57" s="573" t="s">
        <v>3</v>
      </c>
      <c r="E57" s="572" t="s">
        <v>86</v>
      </c>
      <c r="F57" s="1444" t="s">
        <v>126</v>
      </c>
      <c r="G57" s="1445"/>
      <c r="H57" s="69"/>
      <c r="I57" s="54"/>
      <c r="J57" s="54"/>
      <c r="K57" s="54"/>
      <c r="L57" s="54"/>
    </row>
    <row r="58" spans="2:12" ht="70.150000000000006" customHeight="1" x14ac:dyDescent="0.25">
      <c r="B58" s="59"/>
      <c r="C58" s="293" t="s">
        <v>898</v>
      </c>
      <c r="D58" s="292" t="s">
        <v>840</v>
      </c>
      <c r="E58" s="1107"/>
      <c r="F58" s="1494" t="s">
        <v>160</v>
      </c>
      <c r="G58" s="1495"/>
      <c r="H58" s="69"/>
      <c r="I58" s="54"/>
      <c r="J58" s="54"/>
      <c r="K58" s="54"/>
      <c r="L58" s="54"/>
    </row>
    <row r="59" spans="2:12" ht="70.150000000000006" customHeight="1" x14ac:dyDescent="0.25">
      <c r="B59" s="59"/>
      <c r="C59" s="1230" t="s">
        <v>907</v>
      </c>
      <c r="D59" s="595" t="s">
        <v>902</v>
      </c>
      <c r="E59" s="1107"/>
      <c r="F59" s="1494" t="s">
        <v>160</v>
      </c>
      <c r="G59" s="1495"/>
      <c r="H59" s="69"/>
      <c r="I59" s="54"/>
      <c r="J59" s="54"/>
      <c r="K59" s="54"/>
      <c r="L59" s="54"/>
    </row>
    <row r="60" spans="2:12" ht="49.9" customHeight="1" x14ac:dyDescent="0.25">
      <c r="B60" s="59"/>
      <c r="C60" s="310" t="s">
        <v>638</v>
      </c>
      <c r="D60" s="573" t="s">
        <v>3</v>
      </c>
      <c r="E60" s="572" t="s">
        <v>86</v>
      </c>
      <c r="F60" s="1444" t="s">
        <v>126</v>
      </c>
      <c r="G60" s="1445"/>
      <c r="H60" s="69"/>
      <c r="I60" s="54"/>
      <c r="J60" s="54"/>
      <c r="K60" s="54"/>
      <c r="L60" s="54"/>
    </row>
    <row r="61" spans="2:12" ht="70.150000000000006" customHeight="1" x14ac:dyDescent="0.25">
      <c r="B61" s="59"/>
      <c r="C61" s="293" t="s">
        <v>898</v>
      </c>
      <c r="D61" s="292" t="s">
        <v>840</v>
      </c>
      <c r="E61" s="1107"/>
      <c r="F61" s="1494" t="s">
        <v>160</v>
      </c>
      <c r="G61" s="1495"/>
      <c r="H61" s="69"/>
      <c r="I61" s="54"/>
      <c r="J61" s="54"/>
      <c r="K61" s="54"/>
      <c r="L61" s="54"/>
    </row>
    <row r="62" spans="2:12" ht="70.150000000000006" customHeight="1" x14ac:dyDescent="0.25">
      <c r="B62" s="59"/>
      <c r="C62" s="1230" t="s">
        <v>907</v>
      </c>
      <c r="D62" s="292" t="s">
        <v>902</v>
      </c>
      <c r="E62" s="1107"/>
      <c r="F62" s="1494" t="s">
        <v>160</v>
      </c>
      <c r="G62" s="1495"/>
      <c r="H62" s="69"/>
      <c r="I62" s="54"/>
      <c r="J62" s="54"/>
      <c r="K62" s="54"/>
      <c r="L62" s="54"/>
    </row>
    <row r="63" spans="2:12" ht="15" customHeight="1" x14ac:dyDescent="0.25">
      <c r="B63" s="61"/>
      <c r="C63" s="75"/>
      <c r="D63" s="76"/>
      <c r="E63" s="76"/>
      <c r="F63" s="76"/>
      <c r="G63" s="76"/>
      <c r="H63" s="70"/>
      <c r="I63" s="54"/>
      <c r="J63" s="54"/>
      <c r="K63" s="54"/>
      <c r="L63" s="54"/>
    </row>
    <row r="64" spans="2:12" ht="24" customHeight="1" x14ac:dyDescent="0.25">
      <c r="C64" s="64"/>
      <c r="D64" s="54"/>
      <c r="E64" s="54"/>
      <c r="F64" s="54"/>
      <c r="G64" s="54"/>
      <c r="H64" s="54"/>
      <c r="I64" s="54"/>
      <c r="J64" s="54"/>
      <c r="K64" s="54"/>
      <c r="L64" s="54"/>
    </row>
    <row r="67" spans="2:13" ht="40.15" customHeight="1" x14ac:dyDescent="0.25">
      <c r="B67" s="66"/>
      <c r="C67" s="66" t="s">
        <v>492</v>
      </c>
      <c r="D67" s="57"/>
      <c r="E67" s="57"/>
      <c r="F67" s="57"/>
      <c r="G67" s="57"/>
      <c r="H67" s="58"/>
      <c r="I67" s="56"/>
      <c r="J67" s="56"/>
    </row>
    <row r="68" spans="2:13" ht="24" customHeight="1" x14ac:dyDescent="0.25">
      <c r="B68" s="59"/>
      <c r="H68" s="60"/>
      <c r="I68" s="65"/>
      <c r="J68" s="65"/>
    </row>
    <row r="69" spans="2:13" ht="24" customHeight="1" x14ac:dyDescent="0.25">
      <c r="B69" s="59"/>
      <c r="C69" s="1411" t="s">
        <v>493</v>
      </c>
      <c r="D69" s="1407"/>
      <c r="E69" s="1407"/>
      <c r="F69" s="1407"/>
      <c r="G69" s="115"/>
      <c r="H69" s="60"/>
      <c r="I69" s="65"/>
      <c r="J69" s="65"/>
    </row>
    <row r="70" spans="2:13" ht="24" customHeight="1" x14ac:dyDescent="0.25">
      <c r="B70" s="59"/>
      <c r="C70" s="92"/>
      <c r="D70" s="92"/>
      <c r="E70" s="92"/>
      <c r="F70" s="92"/>
      <c r="G70" s="92"/>
      <c r="H70" s="60"/>
      <c r="I70" s="65"/>
      <c r="J70" s="65"/>
    </row>
    <row r="71" spans="2:13" ht="24" customHeight="1" x14ac:dyDescent="0.25">
      <c r="B71" s="59"/>
      <c r="C71" s="1446" t="s">
        <v>634</v>
      </c>
      <c r="D71" s="1447"/>
      <c r="E71" s="1447"/>
      <c r="F71" s="1447"/>
      <c r="G71" s="1447"/>
      <c r="H71" s="60"/>
      <c r="I71" s="65"/>
      <c r="J71" s="65"/>
    </row>
    <row r="72" spans="2:13" ht="40.15" customHeight="1" x14ac:dyDescent="0.25">
      <c r="B72" s="59"/>
      <c r="C72" s="564" t="s">
        <v>641</v>
      </c>
      <c r="D72" s="1410" t="s">
        <v>1217</v>
      </c>
      <c r="E72" s="1410"/>
      <c r="F72" s="1410"/>
      <c r="G72" s="1410"/>
      <c r="H72" s="68"/>
      <c r="I72" s="53"/>
      <c r="J72" s="96"/>
      <c r="K72" s="96"/>
      <c r="L72" s="96"/>
      <c r="M72" s="96"/>
    </row>
    <row r="73" spans="2:13" ht="25.9" customHeight="1" x14ac:dyDescent="0.25">
      <c r="B73" s="59"/>
      <c r="C73" s="564" t="s">
        <v>676</v>
      </c>
      <c r="D73" s="1410" t="s">
        <v>1229</v>
      </c>
      <c r="E73" s="1410"/>
      <c r="F73" s="1410"/>
      <c r="G73" s="1410"/>
      <c r="H73" s="68"/>
      <c r="I73" s="53"/>
      <c r="J73" s="96"/>
      <c r="K73" s="96"/>
      <c r="L73" s="96"/>
      <c r="M73" s="96"/>
    </row>
    <row r="74" spans="2:13" ht="59.45" customHeight="1" x14ac:dyDescent="0.25">
      <c r="B74" s="59"/>
      <c r="C74" s="597" t="s">
        <v>642</v>
      </c>
      <c r="D74" s="1410" t="s">
        <v>1162</v>
      </c>
      <c r="E74" s="1410"/>
      <c r="F74" s="1410"/>
      <c r="G74" s="1410"/>
      <c r="H74" s="68"/>
      <c r="I74" s="53"/>
      <c r="J74" s="96"/>
      <c r="K74" s="96"/>
      <c r="L74" s="96"/>
      <c r="M74" s="96"/>
    </row>
    <row r="75" spans="2:13" ht="19.899999999999999" customHeight="1" x14ac:dyDescent="0.25">
      <c r="B75" s="59"/>
      <c r="C75" s="95"/>
      <c r="D75" s="95"/>
      <c r="E75" s="95"/>
      <c r="F75" s="95"/>
      <c r="G75" s="95"/>
      <c r="H75" s="68"/>
      <c r="I75" s="53"/>
      <c r="J75" s="96"/>
      <c r="K75" s="96"/>
      <c r="L75" s="96"/>
      <c r="M75" s="96"/>
    </row>
    <row r="76" spans="2:13" ht="49.9" customHeight="1" x14ac:dyDescent="0.3">
      <c r="B76" s="59"/>
      <c r="C76" s="583" t="s">
        <v>643</v>
      </c>
      <c r="D76" s="574" t="s">
        <v>3</v>
      </c>
      <c r="E76" s="572" t="s">
        <v>751</v>
      </c>
      <c r="F76" s="1489" t="s">
        <v>640</v>
      </c>
      <c r="G76" s="1490"/>
      <c r="H76" s="68"/>
      <c r="I76" s="53"/>
      <c r="J76" s="94"/>
      <c r="K76" s="93"/>
    </row>
    <row r="77" spans="2:13" ht="30" customHeight="1" x14ac:dyDescent="0.3">
      <c r="B77" s="59"/>
      <c r="C77" s="584"/>
      <c r="D77" s="581"/>
      <c r="E77" s="580" t="str">
        <f>IFERROR(IF(SUM(E78:E81)=0, "",IF(SUM(E78:E81)&gt;100, "  A soma das TM é superior a 100%. Por favor reveja.", IF(SUM(E78:E81)&lt;100, " A soma das TM é inferior a 100%. Por favor reveja.", ""))),"")</f>
        <v/>
      </c>
      <c r="F77" s="584"/>
      <c r="G77" s="582"/>
      <c r="H77" s="68"/>
      <c r="I77" s="53"/>
      <c r="J77" s="94"/>
      <c r="K77" s="93"/>
    </row>
    <row r="78" spans="2:13" ht="70.150000000000006" customHeight="1" x14ac:dyDescent="0.25">
      <c r="B78" s="59"/>
      <c r="C78" s="293" t="s">
        <v>361</v>
      </c>
      <c r="D78" s="292" t="s">
        <v>77</v>
      </c>
      <c r="E78" s="1105"/>
      <c r="F78" s="1408" t="s">
        <v>160</v>
      </c>
      <c r="G78" s="1409"/>
      <c r="H78" s="69"/>
      <c r="I78" s="54"/>
      <c r="K78" s="90"/>
    </row>
    <row r="79" spans="2:13" ht="70.150000000000006" customHeight="1" x14ac:dyDescent="0.25">
      <c r="B79" s="59"/>
      <c r="C79" s="293" t="s">
        <v>342</v>
      </c>
      <c r="D79" s="292" t="s">
        <v>77</v>
      </c>
      <c r="E79" s="1105"/>
      <c r="F79" s="1408" t="s">
        <v>160</v>
      </c>
      <c r="G79" s="1409"/>
      <c r="H79" s="69"/>
      <c r="I79" s="54"/>
      <c r="J79" s="90"/>
      <c r="K79" s="90"/>
    </row>
    <row r="80" spans="2:13" ht="70.150000000000006" customHeight="1" x14ac:dyDescent="0.25">
      <c r="B80" s="59"/>
      <c r="C80" s="293" t="s">
        <v>1163</v>
      </c>
      <c r="D80" s="292" t="s">
        <v>77</v>
      </c>
      <c r="E80" s="1105"/>
      <c r="F80" s="1408" t="s">
        <v>160</v>
      </c>
      <c r="G80" s="1409"/>
      <c r="H80" s="69"/>
      <c r="I80" s="54"/>
      <c r="J80" s="90"/>
      <c r="K80" s="90"/>
    </row>
    <row r="81" spans="2:11" ht="70.150000000000006" customHeight="1" x14ac:dyDescent="0.25">
      <c r="B81" s="59"/>
      <c r="C81" s="293" t="s">
        <v>639</v>
      </c>
      <c r="D81" s="292" t="s">
        <v>77</v>
      </c>
      <c r="E81" s="1105"/>
      <c r="F81" s="1408" t="s">
        <v>160</v>
      </c>
      <c r="G81" s="1409"/>
      <c r="H81" s="69"/>
      <c r="I81" s="54"/>
      <c r="J81" s="90"/>
      <c r="K81" s="90"/>
    </row>
    <row r="82" spans="2:11" ht="49.9" customHeight="1" x14ac:dyDescent="0.25">
      <c r="B82" s="59"/>
      <c r="C82" s="583" t="s">
        <v>630</v>
      </c>
      <c r="D82" s="574" t="s">
        <v>3</v>
      </c>
      <c r="E82" s="572" t="s">
        <v>86</v>
      </c>
      <c r="F82" s="1489" t="s">
        <v>640</v>
      </c>
      <c r="G82" s="1490"/>
      <c r="H82" s="69"/>
      <c r="I82" s="54"/>
      <c r="J82" s="90"/>
      <c r="K82" s="90"/>
    </row>
    <row r="83" spans="2:11" ht="30" customHeight="1" x14ac:dyDescent="0.25">
      <c r="B83" s="59"/>
      <c r="C83" s="583"/>
      <c r="D83" s="575"/>
      <c r="E83" s="580" t="str">
        <f>IFERROR(IF(SUM(E84:E87)=0, "",IF(SUM(E84:E87)&gt;100, "  A soma das TM é superior a 100%. Por favor reveja.", IF(SUM(E84:E87)&lt;100, " A soma das TM é inferior a 100%. Por favor reveja.", ""))),"")</f>
        <v/>
      </c>
      <c r="F83" s="509" t="str">
        <f>IFERROR(IF(SUM(F84:F87)=0, "",IF(SUM(F84:F87)&gt;100, "  A soma das TM é superior a 100%. Por favor reveja.", IF(SUM(F84:F87)&lt;100, " A soma das TM é inferior a 100%. Por favor reveja.", ""))),"")</f>
        <v/>
      </c>
      <c r="G83" s="136"/>
      <c r="H83" s="69"/>
      <c r="I83" s="54"/>
      <c r="J83" s="90"/>
      <c r="K83" s="90"/>
    </row>
    <row r="84" spans="2:11" ht="70.150000000000006" customHeight="1" x14ac:dyDescent="0.25">
      <c r="B84" s="59"/>
      <c r="C84" s="293" t="s">
        <v>404</v>
      </c>
      <c r="D84" s="222" t="s">
        <v>77</v>
      </c>
      <c r="E84" s="1105"/>
      <c r="F84" s="1408" t="s">
        <v>160</v>
      </c>
      <c r="G84" s="1409"/>
      <c r="H84" s="69"/>
      <c r="I84" s="54"/>
      <c r="J84" s="90"/>
      <c r="K84" s="90"/>
    </row>
    <row r="85" spans="2:11" ht="70.150000000000006" customHeight="1" x14ac:dyDescent="0.25">
      <c r="B85" s="59"/>
      <c r="C85" s="293" t="s">
        <v>343</v>
      </c>
      <c r="D85" s="222" t="s">
        <v>77</v>
      </c>
      <c r="E85" s="1105"/>
      <c r="F85" s="1408" t="s">
        <v>160</v>
      </c>
      <c r="G85" s="1409"/>
      <c r="H85" s="69"/>
      <c r="I85" s="54"/>
      <c r="J85" s="90"/>
      <c r="K85" s="90"/>
    </row>
    <row r="86" spans="2:11" ht="70.150000000000006" customHeight="1" x14ac:dyDescent="0.25">
      <c r="B86" s="59"/>
      <c r="C86" s="293" t="s">
        <v>344</v>
      </c>
      <c r="D86" s="222" t="s">
        <v>77</v>
      </c>
      <c r="E86" s="1105"/>
      <c r="F86" s="1408" t="s">
        <v>160</v>
      </c>
      <c r="G86" s="1409"/>
      <c r="H86" s="69"/>
      <c r="I86" s="54"/>
      <c r="J86" s="90"/>
      <c r="K86" s="90"/>
    </row>
    <row r="87" spans="2:11" ht="70.150000000000006" customHeight="1" x14ac:dyDescent="0.25">
      <c r="B87" s="59"/>
      <c r="C87" s="293" t="s">
        <v>645</v>
      </c>
      <c r="D87" s="222" t="s">
        <v>77</v>
      </c>
      <c r="E87" s="1105"/>
      <c r="F87" s="1408" t="s">
        <v>160</v>
      </c>
      <c r="G87" s="1409"/>
      <c r="H87" s="69"/>
      <c r="I87" s="54"/>
      <c r="J87" s="90"/>
      <c r="K87" s="90"/>
    </row>
    <row r="88" spans="2:11" ht="49.9" customHeight="1" x14ac:dyDescent="0.25">
      <c r="B88" s="59"/>
      <c r="C88" s="310" t="s">
        <v>631</v>
      </c>
      <c r="D88" s="574" t="s">
        <v>3</v>
      </c>
      <c r="E88" s="572" t="s">
        <v>86</v>
      </c>
      <c r="F88" s="1489" t="s">
        <v>640</v>
      </c>
      <c r="G88" s="1490"/>
      <c r="H88" s="69"/>
      <c r="I88" s="54"/>
      <c r="J88" s="90"/>
      <c r="K88" s="90"/>
    </row>
    <row r="89" spans="2:11" ht="30" customHeight="1" x14ac:dyDescent="0.25">
      <c r="B89" s="59"/>
      <c r="C89" s="1481"/>
      <c r="D89" s="1482"/>
      <c r="E89" s="580" t="str">
        <f>IFERROR(IF(SUM(E90:E93)=0, "",IF(SUM(E90:E93)&gt;100, "  A soma das TM é superior a 100%. Por favor reveja.", IF(SUM(E90:E93)&lt;100, " A soma das TM é inferior a 100%. Por favor reveja.", ""))),"")</f>
        <v/>
      </c>
      <c r="F89" s="509" t="str">
        <f>IFERROR(IF(SUM(F90:F93)=0, "",IF(SUM(F90:F93)&gt;100, "  A soma das TM é superior a 100%. Por favor reveja.", IF(SUM(F90:F93)&lt;100, " A soma das TM é inferior a 100%. Por favor reveja.", ""))),"")</f>
        <v/>
      </c>
      <c r="G89" s="136"/>
      <c r="H89" s="69"/>
      <c r="I89" s="54"/>
      <c r="J89" s="90"/>
      <c r="K89" s="90"/>
    </row>
    <row r="90" spans="2:11" s="26" customFormat="1" ht="70.150000000000006" customHeight="1" x14ac:dyDescent="0.3">
      <c r="B90" s="305"/>
      <c r="C90" s="293" t="s">
        <v>405</v>
      </c>
      <c r="D90" s="292" t="s">
        <v>77</v>
      </c>
      <c r="E90" s="1105"/>
      <c r="F90" s="1408" t="s">
        <v>160</v>
      </c>
      <c r="G90" s="1409"/>
      <c r="H90" s="306"/>
      <c r="I90" s="307"/>
      <c r="J90" s="308"/>
      <c r="K90" s="308"/>
    </row>
    <row r="91" spans="2:11" s="26" customFormat="1" ht="70.150000000000006" customHeight="1" x14ac:dyDescent="0.3">
      <c r="B91" s="305"/>
      <c r="C91" s="293" t="s">
        <v>646</v>
      </c>
      <c r="D91" s="292" t="s">
        <v>77</v>
      </c>
      <c r="E91" s="1105"/>
      <c r="F91" s="1408" t="s">
        <v>160</v>
      </c>
      <c r="G91" s="1409"/>
      <c r="H91" s="306"/>
      <c r="I91" s="307"/>
      <c r="J91" s="308"/>
      <c r="K91" s="308"/>
    </row>
    <row r="92" spans="2:11" s="26" customFormat="1" ht="70.150000000000006" customHeight="1" x14ac:dyDescent="0.3">
      <c r="B92" s="305"/>
      <c r="C92" s="293" t="s">
        <v>345</v>
      </c>
      <c r="D92" s="292" t="s">
        <v>77</v>
      </c>
      <c r="E92" s="1105"/>
      <c r="F92" s="1408" t="s">
        <v>160</v>
      </c>
      <c r="G92" s="1409"/>
      <c r="H92" s="306"/>
      <c r="I92" s="307"/>
      <c r="J92" s="308"/>
      <c r="K92" s="308"/>
    </row>
    <row r="93" spans="2:11" s="26" customFormat="1" ht="70.150000000000006" customHeight="1" x14ac:dyDescent="0.3">
      <c r="B93" s="305"/>
      <c r="C93" s="293" t="s">
        <v>644</v>
      </c>
      <c r="D93" s="292" t="s">
        <v>77</v>
      </c>
      <c r="E93" s="1105"/>
      <c r="F93" s="1408" t="s">
        <v>160</v>
      </c>
      <c r="G93" s="1409"/>
      <c r="H93" s="306"/>
      <c r="I93" s="307"/>
      <c r="J93" s="308"/>
      <c r="K93" s="308"/>
    </row>
    <row r="94" spans="2:11" s="26" customFormat="1" ht="49.9" customHeight="1" x14ac:dyDescent="0.3">
      <c r="B94" s="305"/>
      <c r="C94" s="310" t="s">
        <v>632</v>
      </c>
      <c r="D94" s="574" t="s">
        <v>3</v>
      </c>
      <c r="E94" s="572" t="s">
        <v>86</v>
      </c>
      <c r="F94" s="1489" t="s">
        <v>640</v>
      </c>
      <c r="G94" s="1490"/>
      <c r="H94" s="306"/>
      <c r="I94" s="307"/>
      <c r="J94" s="308"/>
      <c r="K94" s="308"/>
    </row>
    <row r="95" spans="2:11" ht="30" customHeight="1" x14ac:dyDescent="0.25">
      <c r="B95" s="59"/>
      <c r="C95" s="484"/>
      <c r="D95" s="484"/>
      <c r="E95" s="580" t="str">
        <f>IFERROR(IF(SUM(E96:E99)=0, "",IF(SUM(E96:E99)&gt;100, "  A soma das TM é superior a 100%. Por favor reveja.", IF(SUM(E96:E99)&lt;100, " A soma das TM é inferior a 100%. Por favor reveja.", ""))),"")</f>
        <v/>
      </c>
      <c r="F95" s="509" t="str">
        <f>IFERROR(IF(SUM(F96:F99)=0, "",IF(SUM(F96:F99)&gt;100, "  A soma das TM é superior a 100%. Por favor reveja.", IF(SUM(F96:F99)&lt;100, " A soma das TM é inferior a 100%. Por favor reveja.", ""))),"")</f>
        <v/>
      </c>
      <c r="G95" s="136"/>
      <c r="H95" s="69"/>
      <c r="I95" s="54"/>
      <c r="J95" s="90"/>
      <c r="K95" s="90"/>
    </row>
    <row r="96" spans="2:11" ht="70.150000000000006" customHeight="1" x14ac:dyDescent="0.25">
      <c r="B96" s="59"/>
      <c r="C96" s="293" t="s">
        <v>406</v>
      </c>
      <c r="D96" s="292" t="s">
        <v>77</v>
      </c>
      <c r="E96" s="1105"/>
      <c r="F96" s="1408" t="s">
        <v>160</v>
      </c>
      <c r="G96" s="1409"/>
      <c r="H96" s="69"/>
      <c r="I96" s="54"/>
      <c r="J96" s="55"/>
      <c r="K96" s="48"/>
    </row>
    <row r="97" spans="2:12" ht="70.150000000000006" customHeight="1" x14ac:dyDescent="0.25">
      <c r="B97" s="59"/>
      <c r="C97" s="293" t="s">
        <v>346</v>
      </c>
      <c r="D97" s="292" t="s">
        <v>77</v>
      </c>
      <c r="E97" s="1105"/>
      <c r="F97" s="1408" t="s">
        <v>160</v>
      </c>
      <c r="G97" s="1409"/>
      <c r="H97" s="69"/>
      <c r="I97" s="54"/>
      <c r="J97" s="55"/>
      <c r="K97" s="48"/>
    </row>
    <row r="98" spans="2:12" ht="70.150000000000006" customHeight="1" x14ac:dyDescent="0.25">
      <c r="B98" s="59"/>
      <c r="C98" s="293" t="s">
        <v>347</v>
      </c>
      <c r="D98" s="292" t="s">
        <v>77</v>
      </c>
      <c r="E98" s="1105"/>
      <c r="F98" s="1408" t="s">
        <v>160</v>
      </c>
      <c r="G98" s="1409"/>
      <c r="H98" s="69"/>
      <c r="I98" s="54"/>
      <c r="J98" s="55"/>
      <c r="K98" s="48"/>
    </row>
    <row r="99" spans="2:12" ht="70.150000000000006" customHeight="1" x14ac:dyDescent="0.25">
      <c r="B99" s="59"/>
      <c r="C99" s="293" t="s">
        <v>647</v>
      </c>
      <c r="D99" s="292" t="s">
        <v>77</v>
      </c>
      <c r="E99" s="1105"/>
      <c r="F99" s="1408" t="s">
        <v>160</v>
      </c>
      <c r="G99" s="1409"/>
      <c r="H99" s="69"/>
      <c r="I99" s="54"/>
      <c r="J99" s="55"/>
      <c r="K99" s="48"/>
    </row>
    <row r="100" spans="2:12" ht="49.9" customHeight="1" x14ac:dyDescent="0.25">
      <c r="B100" s="59"/>
      <c r="C100" s="310" t="s">
        <v>637</v>
      </c>
      <c r="D100" s="574" t="s">
        <v>3</v>
      </c>
      <c r="E100" s="572" t="s">
        <v>86</v>
      </c>
      <c r="F100" s="1489" t="s">
        <v>640</v>
      </c>
      <c r="G100" s="1490"/>
      <c r="H100" s="69"/>
      <c r="I100" s="54"/>
      <c r="J100" s="55"/>
      <c r="K100" s="48"/>
    </row>
    <row r="101" spans="2:12" ht="30" customHeight="1" x14ac:dyDescent="0.25">
      <c r="B101" s="59"/>
      <c r="C101" s="310"/>
      <c r="D101" s="484"/>
      <c r="E101" s="580" t="str">
        <f>IFERROR(IF(SUM(E102:E105)=0, "",IF(SUM(E102:E105)&gt;100, "  A soma das TM é superior a 100%. Por favor reveja.", IF(SUM(E102:E105)&lt;100, " A soma das TM é inferior a 100%. Por favor reveja.", ""))),"")</f>
        <v/>
      </c>
      <c r="F101" s="509" t="str">
        <f>IFERROR(IF(SUM(F102:F105)=0, "",IF(SUM(F102:F105)&gt;100, "  A soma das TM é superior a 100%. Por favor reveja.", IF(SUM(F102:F105)&lt;100, " A soma das TM é inferior a 100%. Por favor reveja.", ""))),"")</f>
        <v/>
      </c>
      <c r="G101" s="136"/>
      <c r="H101" s="69"/>
      <c r="I101" s="54"/>
      <c r="J101" s="55"/>
      <c r="K101" s="48"/>
    </row>
    <row r="102" spans="2:12" ht="70.150000000000006" customHeight="1" x14ac:dyDescent="0.25">
      <c r="B102" s="59"/>
      <c r="C102" s="293" t="s">
        <v>407</v>
      </c>
      <c r="D102" s="292" t="s">
        <v>77</v>
      </c>
      <c r="E102" s="1105"/>
      <c r="F102" s="1408" t="s">
        <v>160</v>
      </c>
      <c r="G102" s="1409"/>
      <c r="H102" s="69"/>
      <c r="I102" s="54"/>
      <c r="J102" s="55"/>
      <c r="K102" s="48"/>
    </row>
    <row r="103" spans="2:12" ht="70.150000000000006" customHeight="1" x14ac:dyDescent="0.25">
      <c r="B103" s="59"/>
      <c r="C103" s="293" t="s">
        <v>348</v>
      </c>
      <c r="D103" s="292" t="s">
        <v>77</v>
      </c>
      <c r="E103" s="1105"/>
      <c r="F103" s="1408" t="s">
        <v>160</v>
      </c>
      <c r="G103" s="1409"/>
      <c r="H103" s="69"/>
      <c r="I103" s="54"/>
      <c r="J103" s="55"/>
      <c r="K103" s="48"/>
    </row>
    <row r="104" spans="2:12" ht="70.150000000000006" customHeight="1" x14ac:dyDescent="0.25">
      <c r="B104" s="59"/>
      <c r="C104" s="293" t="s">
        <v>349</v>
      </c>
      <c r="D104" s="292" t="s">
        <v>77</v>
      </c>
      <c r="E104" s="1105"/>
      <c r="F104" s="1408" t="s">
        <v>160</v>
      </c>
      <c r="G104" s="1409"/>
      <c r="H104" s="69"/>
      <c r="I104" s="54"/>
      <c r="J104" s="55"/>
      <c r="K104" s="48"/>
    </row>
    <row r="105" spans="2:12" ht="70.150000000000006" customHeight="1" x14ac:dyDescent="0.25">
      <c r="B105" s="59"/>
      <c r="C105" s="293" t="s">
        <v>648</v>
      </c>
      <c r="D105" s="292" t="s">
        <v>77</v>
      </c>
      <c r="E105" s="1105"/>
      <c r="F105" s="1408" t="s">
        <v>160</v>
      </c>
      <c r="G105" s="1409"/>
      <c r="H105" s="69"/>
      <c r="I105" s="54"/>
      <c r="J105" s="55"/>
      <c r="K105" s="48"/>
    </row>
    <row r="106" spans="2:12" ht="49.9" customHeight="1" x14ac:dyDescent="0.25">
      <c r="B106" s="59"/>
      <c r="C106" s="310" t="s">
        <v>638</v>
      </c>
      <c r="D106" s="574" t="s">
        <v>3</v>
      </c>
      <c r="E106" s="572" t="s">
        <v>86</v>
      </c>
      <c r="F106" s="1489" t="s">
        <v>640</v>
      </c>
      <c r="G106" s="1490"/>
      <c r="H106" s="69"/>
      <c r="I106" s="54"/>
      <c r="J106" s="55"/>
      <c r="K106" s="48"/>
    </row>
    <row r="107" spans="2:12" ht="30" customHeight="1" x14ac:dyDescent="0.25">
      <c r="B107" s="59"/>
      <c r="C107" s="484"/>
      <c r="D107" s="484"/>
      <c r="E107" s="580" t="str">
        <f>IFERROR(IF(SUM(E108:E111)=0, "",IF(SUM(E108:E111)&gt;100, "  A soma das TM é superior a 100%. Por favor reveja.", IF(SUM(E108:E111)&lt;100, " A soma das TM é inferior a 100%. Por favor reveja.", ""))),"")</f>
        <v/>
      </c>
      <c r="F107" s="509" t="str">
        <f>IFERROR(IF(SUM(F108:F111)=0, "",IF(SUM(F108:F111)&gt;100, "  A soma das TM é superior a 100%. Por favor reveja.", IF(SUM(F108:F111)&lt;100, " A soma das TM é inferior a 100%. Por favor reveja.", ""))),"")</f>
        <v/>
      </c>
      <c r="G107" s="136"/>
      <c r="H107" s="69"/>
      <c r="I107" s="54"/>
      <c r="J107" s="55"/>
      <c r="K107" s="48"/>
    </row>
    <row r="108" spans="2:12" ht="70.150000000000006" customHeight="1" x14ac:dyDescent="0.25">
      <c r="B108" s="59"/>
      <c r="C108" s="293" t="s">
        <v>408</v>
      </c>
      <c r="D108" s="292" t="s">
        <v>77</v>
      </c>
      <c r="E108" s="1105"/>
      <c r="F108" s="1408" t="s">
        <v>160</v>
      </c>
      <c r="G108" s="1409"/>
      <c r="H108" s="69"/>
      <c r="I108" s="54"/>
      <c r="J108" s="55"/>
      <c r="K108" s="48"/>
    </row>
    <row r="109" spans="2:12" ht="70.150000000000006" customHeight="1" x14ac:dyDescent="0.25">
      <c r="B109" s="59"/>
      <c r="C109" s="293" t="s">
        <v>350</v>
      </c>
      <c r="D109" s="292" t="s">
        <v>77</v>
      </c>
      <c r="E109" s="1105"/>
      <c r="F109" s="1408" t="s">
        <v>160</v>
      </c>
      <c r="G109" s="1409"/>
      <c r="H109" s="69"/>
      <c r="I109" s="54"/>
      <c r="J109" s="55"/>
      <c r="K109" s="48"/>
    </row>
    <row r="110" spans="2:12" ht="70.150000000000006" customHeight="1" x14ac:dyDescent="0.25">
      <c r="B110" s="59"/>
      <c r="C110" s="293" t="s">
        <v>351</v>
      </c>
      <c r="D110" s="292" t="s">
        <v>77</v>
      </c>
      <c r="E110" s="1105"/>
      <c r="F110" s="1408" t="s">
        <v>160</v>
      </c>
      <c r="G110" s="1409"/>
      <c r="H110" s="69"/>
      <c r="I110" s="54"/>
      <c r="J110" s="55"/>
      <c r="K110" s="48"/>
    </row>
    <row r="111" spans="2:12" ht="70.150000000000006" customHeight="1" x14ac:dyDescent="0.25">
      <c r="B111" s="59"/>
      <c r="C111" s="293" t="s">
        <v>649</v>
      </c>
      <c r="D111" s="292" t="s">
        <v>77</v>
      </c>
      <c r="E111" s="1105"/>
      <c r="F111" s="1408" t="s">
        <v>160</v>
      </c>
      <c r="G111" s="1409"/>
      <c r="H111" s="69"/>
      <c r="I111" s="54"/>
      <c r="J111" s="55"/>
      <c r="K111" s="48"/>
    </row>
    <row r="112" spans="2:12" ht="15" customHeight="1" x14ac:dyDescent="0.25">
      <c r="B112" s="61"/>
      <c r="C112" s="75"/>
      <c r="D112" s="76"/>
      <c r="E112" s="76"/>
      <c r="F112" s="76"/>
      <c r="G112" s="76"/>
      <c r="H112" s="70"/>
      <c r="I112" s="54"/>
      <c r="J112" s="54"/>
      <c r="K112" s="54"/>
      <c r="L112" s="54"/>
    </row>
    <row r="119" spans="2:18" ht="40.15" customHeight="1" x14ac:dyDescent="0.25">
      <c r="B119" s="66"/>
      <c r="C119" s="66" t="s">
        <v>494</v>
      </c>
      <c r="D119" s="57"/>
      <c r="E119" s="57"/>
      <c r="F119" s="57"/>
      <c r="G119" s="57"/>
      <c r="H119" s="58"/>
    </row>
    <row r="120" spans="2:18" ht="24" customHeight="1" x14ac:dyDescent="0.25">
      <c r="B120" s="59"/>
      <c r="H120" s="60"/>
    </row>
    <row r="121" spans="2:18" ht="24" customHeight="1" x14ac:dyDescent="0.25">
      <c r="B121" s="59"/>
      <c r="C121" s="1411" t="s">
        <v>857</v>
      </c>
      <c r="D121" s="1407"/>
      <c r="E121" s="1407"/>
      <c r="F121" s="1407"/>
      <c r="G121" s="115"/>
      <c r="H121" s="60"/>
      <c r="J121" s="55"/>
      <c r="K121" s="64"/>
      <c r="Q121" s="55"/>
      <c r="R121" s="48"/>
    </row>
    <row r="122" spans="2:18" ht="40.15" customHeight="1" x14ac:dyDescent="0.25">
      <c r="B122" s="59"/>
      <c r="C122" s="592" t="s">
        <v>114</v>
      </c>
      <c r="D122" s="593" t="s">
        <v>3</v>
      </c>
      <c r="E122" s="593" t="s">
        <v>671</v>
      </c>
      <c r="F122" s="593" t="s">
        <v>673</v>
      </c>
      <c r="G122" s="212"/>
      <c r="H122" s="60"/>
      <c r="J122" s="55"/>
      <c r="K122" s="64"/>
      <c r="Q122" s="55"/>
      <c r="R122" s="48"/>
    </row>
    <row r="123" spans="2:18" ht="40.15" customHeight="1" x14ac:dyDescent="0.25">
      <c r="B123" s="59"/>
      <c r="C123" s="311" t="s">
        <v>866</v>
      </c>
      <c r="D123" s="312" t="s">
        <v>681</v>
      </c>
      <c r="E123" s="522" t="str">
        <f>IFERROR(FACalc_rodovia!D119," ")</f>
        <v/>
      </c>
      <c r="F123" s="523" t="str">
        <f>IFERROR(FACalc_rodovia!E119," ")</f>
        <v/>
      </c>
      <c r="G123" s="213"/>
      <c r="H123" s="60"/>
      <c r="J123" s="55"/>
      <c r="K123" s="64"/>
      <c r="Q123" s="55"/>
      <c r="R123" s="48"/>
    </row>
    <row r="124" spans="2:18" ht="40.15" customHeight="1" x14ac:dyDescent="0.25">
      <c r="B124" s="59"/>
      <c r="C124" s="313" t="s">
        <v>867</v>
      </c>
      <c r="D124" s="314" t="s">
        <v>681</v>
      </c>
      <c r="E124" s="524">
        <f>IFERROR(FACalc_rodovia!D120,"")</f>
        <v>0</v>
      </c>
      <c r="F124" s="525">
        <f>IFERROR(FACalc_rodovia!E120,"")</f>
        <v>0</v>
      </c>
      <c r="G124" s="604" t="str">
        <f>IF(F23= "","!Preencher Fator de Emissão de eletricidade","")</f>
        <v/>
      </c>
      <c r="H124" s="60"/>
      <c r="J124" s="55"/>
      <c r="K124" s="64"/>
      <c r="Q124" s="55"/>
      <c r="R124" s="48"/>
    </row>
    <row r="125" spans="2:18" ht="40.15" customHeight="1" x14ac:dyDescent="0.25">
      <c r="B125" s="59"/>
      <c r="C125" s="316" t="s">
        <v>868</v>
      </c>
      <c r="D125" s="317" t="s">
        <v>681</v>
      </c>
      <c r="E125" s="526" t="str">
        <f>IFERROR(FACalc_rodovia!D121,"")</f>
        <v/>
      </c>
      <c r="F125" s="527" t="str">
        <f>IFERROR(FACalc_rodovia!E121,"")</f>
        <v/>
      </c>
      <c r="G125" s="497"/>
      <c r="H125" s="60"/>
      <c r="J125" s="55"/>
      <c r="K125" s="64"/>
      <c r="Q125" s="55"/>
      <c r="R125" s="48"/>
    </row>
    <row r="126" spans="2:18" ht="40.15" customHeight="1" x14ac:dyDescent="0.25">
      <c r="B126" s="59"/>
      <c r="C126" s="598" t="s">
        <v>869</v>
      </c>
      <c r="D126" s="599" t="s">
        <v>681</v>
      </c>
      <c r="E126" s="600" t="str">
        <f>IFERROR(-E123,"")</f>
        <v/>
      </c>
      <c r="F126" s="601" t="str">
        <f>IFERROR(-F123,"")</f>
        <v/>
      </c>
      <c r="G126" s="497"/>
      <c r="H126" s="60"/>
      <c r="J126" s="55"/>
      <c r="K126" s="64"/>
      <c r="Q126" s="55"/>
      <c r="R126" s="48"/>
    </row>
    <row r="127" spans="2:18" ht="40.15" customHeight="1" x14ac:dyDescent="0.25">
      <c r="B127" s="59"/>
      <c r="C127" s="320" t="s">
        <v>441</v>
      </c>
      <c r="D127" s="321" t="s">
        <v>118</v>
      </c>
      <c r="E127" s="528">
        <f>IFERROR(FACalc_rodovia!D122,"")</f>
        <v>0</v>
      </c>
      <c r="F127" s="529" t="s">
        <v>107</v>
      </c>
      <c r="G127" s="213"/>
      <c r="H127" s="60"/>
      <c r="J127" s="55"/>
      <c r="K127" s="64"/>
      <c r="Q127" s="55"/>
      <c r="R127" s="48"/>
    </row>
    <row r="128" spans="2:18" ht="40.15" customHeight="1" x14ac:dyDescent="0.25">
      <c r="B128" s="59"/>
      <c r="C128" s="1250" t="s">
        <v>1320</v>
      </c>
      <c r="D128" s="321" t="s">
        <v>681</v>
      </c>
      <c r="E128" s="528">
        <f>IFERROR(FACalc_rodovia!D123,"")</f>
        <v>0</v>
      </c>
      <c r="F128" s="529" t="s">
        <v>107</v>
      </c>
      <c r="G128" s="213"/>
      <c r="H128" s="60"/>
      <c r="J128" s="55"/>
      <c r="K128" s="64"/>
      <c r="Q128" s="55"/>
      <c r="R128" s="48"/>
    </row>
    <row r="129" spans="2:18" ht="48" customHeight="1" x14ac:dyDescent="0.25">
      <c r="B129" s="59"/>
      <c r="C129" s="605" t="s">
        <v>670</v>
      </c>
      <c r="D129" s="1238" t="s">
        <v>1304</v>
      </c>
      <c r="E129" s="606" t="str">
        <f>IFERROR(FACalc_rodovia!D124,"")</f>
        <v/>
      </c>
      <c r="F129" s="607" t="str">
        <f>IFERROR(FACalc_rodovia!E124,"")</f>
        <v/>
      </c>
      <c r="G129" s="682" t="str">
        <f>IF(E129="","!Preencher Ano de início da exploração (ID_Identificação do Projeto)","" )</f>
        <v>!Preencher Ano de início da exploração (ID_Identificação do Projeto)</v>
      </c>
      <c r="H129" s="60"/>
      <c r="J129" s="55"/>
      <c r="K129" s="64"/>
      <c r="Q129" s="55"/>
      <c r="R129" s="48"/>
    </row>
    <row r="130" spans="2:18" ht="23.45" customHeight="1" x14ac:dyDescent="0.25">
      <c r="B130" s="59"/>
      <c r="C130" s="397"/>
      <c r="D130" s="397"/>
      <c r="E130" s="397"/>
      <c r="F130" s="88"/>
      <c r="G130" s="88"/>
      <c r="H130" s="60"/>
      <c r="J130" s="55"/>
      <c r="K130" s="48"/>
      <c r="Q130" s="55"/>
      <c r="R130" s="48"/>
    </row>
    <row r="131" spans="2:18" ht="19.899999999999999" customHeight="1" x14ac:dyDescent="0.25">
      <c r="B131" s="59"/>
      <c r="C131" s="87"/>
      <c r="D131" s="88"/>
      <c r="E131" s="88"/>
      <c r="F131" s="88"/>
      <c r="G131" s="88"/>
      <c r="H131" s="60"/>
      <c r="J131" s="55"/>
      <c r="K131" s="48"/>
      <c r="Q131" s="55"/>
      <c r="R131" s="48"/>
    </row>
    <row r="132" spans="2:18" ht="24" customHeight="1" x14ac:dyDescent="0.25">
      <c r="B132" s="59"/>
      <c r="C132" s="1407" t="s">
        <v>682</v>
      </c>
      <c r="D132" s="1407"/>
      <c r="E132" s="1407"/>
      <c r="F132" s="1407"/>
      <c r="G132" s="115"/>
      <c r="H132" s="60"/>
      <c r="J132" s="55"/>
      <c r="K132" s="48"/>
      <c r="Q132" s="55"/>
      <c r="R132" s="48"/>
    </row>
    <row r="133" spans="2:18" ht="40.15" customHeight="1" x14ac:dyDescent="0.25">
      <c r="B133" s="59"/>
      <c r="C133" s="575" t="s">
        <v>629</v>
      </c>
      <c r="D133" s="591" t="s">
        <v>3</v>
      </c>
      <c r="E133" s="591" t="s">
        <v>671</v>
      </c>
      <c r="F133" s="591" t="s">
        <v>673</v>
      </c>
      <c r="G133" s="214"/>
      <c r="H133" s="60"/>
      <c r="J133" s="55"/>
      <c r="K133" s="48"/>
      <c r="Q133" s="55"/>
      <c r="R133" s="48"/>
    </row>
    <row r="134" spans="2:18" ht="40.15" customHeight="1" x14ac:dyDescent="0.25">
      <c r="B134" s="59"/>
      <c r="C134" s="329" t="s">
        <v>504</v>
      </c>
      <c r="D134" s="330" t="s">
        <v>681</v>
      </c>
      <c r="E134" s="366" t="str">
        <f>IFERROR(FACalc_rodovia!I111,"")</f>
        <v/>
      </c>
      <c r="F134" s="367" t="str">
        <f>IFERROR(FACalc_rodovia!J111,"")</f>
        <v/>
      </c>
      <c r="G134" s="213"/>
      <c r="H134" s="60"/>
      <c r="J134" s="207"/>
      <c r="K134" s="48"/>
      <c r="Q134" s="55"/>
      <c r="R134" s="48"/>
    </row>
    <row r="135" spans="2:18" ht="40.15" customHeight="1" x14ac:dyDescent="0.25">
      <c r="B135" s="59"/>
      <c r="C135" s="331" t="s">
        <v>334</v>
      </c>
      <c r="D135" s="332" t="s">
        <v>681</v>
      </c>
      <c r="E135" s="498">
        <f>IFERROR(FACalc_rodovia!I112,"")</f>
        <v>0</v>
      </c>
      <c r="F135" s="499">
        <f>IFERROR(FACalc_rodovia!J112,"")</f>
        <v>0</v>
      </c>
      <c r="G135" s="258"/>
      <c r="H135" s="60"/>
      <c r="J135" s="55"/>
      <c r="K135" s="48"/>
      <c r="Q135" s="55"/>
      <c r="R135" s="48"/>
    </row>
    <row r="136" spans="2:18" ht="40.15" customHeight="1" x14ac:dyDescent="0.25">
      <c r="B136" s="59"/>
      <c r="C136" s="333" t="s">
        <v>360</v>
      </c>
      <c r="D136" s="334" t="s">
        <v>681</v>
      </c>
      <c r="E136" s="368" t="str">
        <f>IFERROR(FACalc_rodovia!I113,"")</f>
        <v/>
      </c>
      <c r="F136" s="369" t="str">
        <f>IFERROR(FACalc_rodovia!J113,"")</f>
        <v/>
      </c>
      <c r="G136" s="213"/>
      <c r="H136" s="60"/>
      <c r="J136" s="55"/>
      <c r="K136" s="48"/>
      <c r="Q136" s="55"/>
      <c r="R136" s="48"/>
    </row>
    <row r="137" spans="2:18" ht="40.15" customHeight="1" x14ac:dyDescent="0.25">
      <c r="B137" s="59"/>
      <c r="C137" s="484" t="s">
        <v>630</v>
      </c>
      <c r="D137" s="591" t="s">
        <v>3</v>
      </c>
      <c r="E137" s="591" t="s">
        <v>671</v>
      </c>
      <c r="F137" s="591" t="s">
        <v>673</v>
      </c>
      <c r="G137" s="214"/>
      <c r="H137" s="60"/>
      <c r="J137" s="55"/>
      <c r="K137" s="48"/>
      <c r="Q137" s="55"/>
      <c r="R137" s="48"/>
    </row>
    <row r="138" spans="2:18" ht="40.15" customHeight="1" x14ac:dyDescent="0.25">
      <c r="B138" s="59"/>
      <c r="C138" s="329" t="s">
        <v>504</v>
      </c>
      <c r="D138" s="326" t="s">
        <v>681</v>
      </c>
      <c r="E138" s="366" t="str">
        <f>IFERROR(FACalc_rodovia!I115,"")</f>
        <v/>
      </c>
      <c r="F138" s="367" t="str">
        <f>IFERROR(FACalc_rodovia!J119,"0")</f>
        <v>0</v>
      </c>
      <c r="G138" s="213"/>
      <c r="H138" s="60"/>
      <c r="J138" s="55"/>
      <c r="K138" s="48"/>
      <c r="Q138" s="55"/>
      <c r="R138" s="48"/>
    </row>
    <row r="139" spans="2:18" ht="40.15" customHeight="1" x14ac:dyDescent="0.25">
      <c r="B139" s="59"/>
      <c r="C139" s="331" t="s">
        <v>334</v>
      </c>
      <c r="D139" s="327" t="s">
        <v>681</v>
      </c>
      <c r="E139" s="498">
        <f>IFERROR(FACalc_rodovia!I116,"")</f>
        <v>0</v>
      </c>
      <c r="F139" s="499">
        <f>IFERROR(FACalc_rodovia!J120,"")</f>
        <v>0</v>
      </c>
      <c r="G139" s="213"/>
      <c r="H139" s="60"/>
      <c r="J139" s="54"/>
      <c r="K139" s="54"/>
      <c r="Q139" s="55"/>
      <c r="R139" s="48"/>
    </row>
    <row r="140" spans="2:18" ht="40.15" customHeight="1" x14ac:dyDescent="0.25">
      <c r="B140" s="59"/>
      <c r="C140" s="333" t="s">
        <v>360</v>
      </c>
      <c r="D140" s="328" t="s">
        <v>681</v>
      </c>
      <c r="E140" s="368" t="str">
        <f>IFERROR(FACalc_rodovia!I117,"")</f>
        <v/>
      </c>
      <c r="F140" s="369" t="str">
        <f>IFERROR(FACalc_rodovia!J121,"")</f>
        <v/>
      </c>
      <c r="G140" s="213"/>
      <c r="H140" s="60"/>
      <c r="J140" s="54" t="s">
        <v>112</v>
      </c>
      <c r="K140" s="54"/>
      <c r="Q140" s="55"/>
      <c r="R140" s="48"/>
    </row>
    <row r="141" spans="2:18" ht="40.15" customHeight="1" x14ac:dyDescent="0.25">
      <c r="B141" s="59"/>
      <c r="C141" s="575" t="s">
        <v>631</v>
      </c>
      <c r="D141" s="591" t="s">
        <v>3</v>
      </c>
      <c r="E141" s="591" t="s">
        <v>671</v>
      </c>
      <c r="F141" s="591" t="s">
        <v>673</v>
      </c>
      <c r="G141" s="214"/>
      <c r="H141" s="60"/>
      <c r="J141" s="54"/>
      <c r="K141" s="54"/>
      <c r="Q141" s="55"/>
      <c r="R141" s="48"/>
    </row>
    <row r="142" spans="2:18" ht="40.15" customHeight="1" x14ac:dyDescent="0.25">
      <c r="B142" s="59"/>
      <c r="C142" s="329" t="s">
        <v>504</v>
      </c>
      <c r="D142" s="326" t="s">
        <v>681</v>
      </c>
      <c r="E142" s="366" t="str">
        <f>IFERROR(FACalc_rodovia!I119,"")</f>
        <v/>
      </c>
      <c r="F142" s="367" t="str">
        <f>IFERROR(FACalc_rodovia!J119,"")</f>
        <v/>
      </c>
      <c r="G142" s="213"/>
      <c r="H142" s="60"/>
      <c r="J142" s="54"/>
      <c r="K142" s="54"/>
      <c r="Q142" s="55"/>
      <c r="R142" s="48"/>
    </row>
    <row r="143" spans="2:18" ht="40.15" customHeight="1" x14ac:dyDescent="0.25">
      <c r="B143" s="59"/>
      <c r="C143" s="331" t="s">
        <v>334</v>
      </c>
      <c r="D143" s="327" t="s">
        <v>681</v>
      </c>
      <c r="E143" s="498">
        <f>IFERROR(FACalc_rodovia!I120,"")</f>
        <v>0</v>
      </c>
      <c r="F143" s="499">
        <f>IFERROR(FACalc_rodovia!J120,"")</f>
        <v>0</v>
      </c>
      <c r="G143" s="213"/>
      <c r="H143" s="60"/>
      <c r="J143" s="54"/>
      <c r="K143" s="54"/>
      <c r="Q143" s="55"/>
      <c r="R143" s="48"/>
    </row>
    <row r="144" spans="2:18" ht="40.15" customHeight="1" x14ac:dyDescent="0.25">
      <c r="B144" s="59"/>
      <c r="C144" s="333" t="s">
        <v>360</v>
      </c>
      <c r="D144" s="328" t="s">
        <v>681</v>
      </c>
      <c r="E144" s="368" t="str">
        <f>IFERROR(FACalc_rodovia!I121,"")</f>
        <v/>
      </c>
      <c r="F144" s="369" t="str">
        <f>IFERROR(FACalc_rodovia!J121,"")</f>
        <v/>
      </c>
      <c r="G144" s="213"/>
      <c r="H144" s="60"/>
      <c r="J144" s="208"/>
      <c r="K144" s="54"/>
      <c r="Q144" s="55"/>
      <c r="R144" s="48"/>
    </row>
    <row r="145" spans="2:18" ht="40.15" customHeight="1" x14ac:dyDescent="0.25">
      <c r="B145" s="59"/>
      <c r="C145" s="484" t="s">
        <v>632</v>
      </c>
      <c r="D145" s="591" t="s">
        <v>3</v>
      </c>
      <c r="E145" s="591" t="s">
        <v>671</v>
      </c>
      <c r="F145" s="591" t="s">
        <v>673</v>
      </c>
      <c r="G145" s="214"/>
      <c r="H145" s="60"/>
      <c r="J145" s="208"/>
      <c r="K145" s="54"/>
      <c r="Q145" s="55"/>
      <c r="R145" s="48"/>
    </row>
    <row r="146" spans="2:18" ht="40.15" customHeight="1" x14ac:dyDescent="0.25">
      <c r="B146" s="59"/>
      <c r="C146" s="329" t="s">
        <v>504</v>
      </c>
      <c r="D146" s="326" t="s">
        <v>681</v>
      </c>
      <c r="E146" s="366" t="str">
        <f>IFERROR(FACalc_rodovia!I123,"")</f>
        <v/>
      </c>
      <c r="F146" s="367" t="str">
        <f>IFERROR(FACalc_rodovia!J123,"")</f>
        <v/>
      </c>
      <c r="G146" s="213"/>
      <c r="H146" s="60"/>
      <c r="J146" s="208"/>
      <c r="K146" s="54"/>
      <c r="Q146" s="55"/>
      <c r="R146" s="48"/>
    </row>
    <row r="147" spans="2:18" ht="40.15" customHeight="1" x14ac:dyDescent="0.25">
      <c r="B147" s="59"/>
      <c r="C147" s="331" t="s">
        <v>334</v>
      </c>
      <c r="D147" s="327" t="s">
        <v>681</v>
      </c>
      <c r="E147" s="498">
        <f>IFERROR(FACalc_rodovia!I124,"")</f>
        <v>0</v>
      </c>
      <c r="F147" s="499">
        <f>IFERROR(FACalc_rodovia!J124,"")</f>
        <v>0</v>
      </c>
      <c r="G147" s="213"/>
      <c r="H147" s="60"/>
      <c r="J147" s="208"/>
      <c r="K147" s="54"/>
      <c r="Q147" s="55"/>
      <c r="R147" s="48"/>
    </row>
    <row r="148" spans="2:18" ht="40.15" customHeight="1" x14ac:dyDescent="0.25">
      <c r="B148" s="59"/>
      <c r="C148" s="333" t="s">
        <v>360</v>
      </c>
      <c r="D148" s="328" t="s">
        <v>681</v>
      </c>
      <c r="E148" s="368" t="str">
        <f>IFERROR(FACalc_rodovia!I125,"")</f>
        <v/>
      </c>
      <c r="F148" s="369" t="str">
        <f>IFERROR(FACalc_rodovia!J125,"")</f>
        <v/>
      </c>
      <c r="G148" s="213"/>
      <c r="H148" s="60"/>
      <c r="J148" s="208"/>
      <c r="K148" s="54"/>
      <c r="Q148" s="55"/>
      <c r="R148" s="48"/>
    </row>
    <row r="149" spans="2:18" ht="40.15" customHeight="1" x14ac:dyDescent="0.25">
      <c r="B149" s="59"/>
      <c r="C149" s="484" t="s">
        <v>677</v>
      </c>
      <c r="D149" s="591" t="s">
        <v>3</v>
      </c>
      <c r="E149" s="591" t="s">
        <v>671</v>
      </c>
      <c r="F149" s="591" t="s">
        <v>673</v>
      </c>
      <c r="G149" s="214"/>
      <c r="H149" s="60"/>
      <c r="J149" s="208"/>
      <c r="K149" s="54"/>
      <c r="Q149" s="55"/>
      <c r="R149" s="48"/>
    </row>
    <row r="150" spans="2:18" ht="40.15" customHeight="1" x14ac:dyDescent="0.25">
      <c r="B150" s="59"/>
      <c r="C150" s="329" t="s">
        <v>504</v>
      </c>
      <c r="D150" s="326" t="s">
        <v>681</v>
      </c>
      <c r="E150" s="366" t="str">
        <f>IFERROR(FACalc_rodovia!I127,"")</f>
        <v/>
      </c>
      <c r="F150" s="367" t="str">
        <f>IFERROR(FACalc_rodovia!J127,"")</f>
        <v/>
      </c>
      <c r="G150" s="213"/>
      <c r="H150" s="60"/>
      <c r="J150" s="208"/>
      <c r="K150" s="54"/>
      <c r="Q150" s="55"/>
      <c r="R150" s="48"/>
    </row>
    <row r="151" spans="2:18" ht="40.15" customHeight="1" x14ac:dyDescent="0.25">
      <c r="B151" s="59"/>
      <c r="C151" s="331" t="s">
        <v>334</v>
      </c>
      <c r="D151" s="327" t="s">
        <v>681</v>
      </c>
      <c r="E151" s="498">
        <f>IFERROR(FACalc_rodovia!I128,"")</f>
        <v>0</v>
      </c>
      <c r="F151" s="499">
        <f>IFERROR(FACalc_rodovia!J128,"")</f>
        <v>0</v>
      </c>
      <c r="G151" s="213"/>
      <c r="H151" s="60"/>
      <c r="J151" s="208"/>
      <c r="K151" s="54"/>
      <c r="Q151" s="55"/>
      <c r="R151" s="48"/>
    </row>
    <row r="152" spans="2:18" ht="40.15" customHeight="1" x14ac:dyDescent="0.25">
      <c r="B152" s="59"/>
      <c r="C152" s="333" t="s">
        <v>360</v>
      </c>
      <c r="D152" s="328" t="s">
        <v>681</v>
      </c>
      <c r="E152" s="368" t="str">
        <f>IFERROR(FACalc_rodovia!I129,"")</f>
        <v/>
      </c>
      <c r="F152" s="369" t="str">
        <f>IFERROR(FACalc_rodovia!J129,"")</f>
        <v/>
      </c>
      <c r="G152" s="213"/>
      <c r="H152" s="60"/>
      <c r="J152" s="208"/>
      <c r="K152" s="54"/>
      <c r="Q152" s="55"/>
      <c r="R152" s="48"/>
    </row>
    <row r="153" spans="2:18" ht="40.15" customHeight="1" x14ac:dyDescent="0.25">
      <c r="B153" s="59"/>
      <c r="C153" s="484" t="s">
        <v>678</v>
      </c>
      <c r="D153" s="591" t="s">
        <v>3</v>
      </c>
      <c r="E153" s="591" t="s">
        <v>671</v>
      </c>
      <c r="F153" s="591" t="s">
        <v>673</v>
      </c>
      <c r="G153" s="214"/>
      <c r="H153" s="60"/>
      <c r="J153" s="54"/>
      <c r="K153" s="54"/>
      <c r="Q153" s="55"/>
      <c r="R153" s="48"/>
    </row>
    <row r="154" spans="2:18" ht="40.15" customHeight="1" x14ac:dyDescent="0.25">
      <c r="B154" s="59"/>
      <c r="C154" s="329" t="s">
        <v>504</v>
      </c>
      <c r="D154" s="326" t="s">
        <v>681</v>
      </c>
      <c r="E154" s="366" t="str">
        <f>IFERROR(FACalc_rodovia!I131,"")</f>
        <v/>
      </c>
      <c r="F154" s="367" t="str">
        <f>IFERROR(FACalc_rodovia!J131,"")</f>
        <v/>
      </c>
      <c r="G154" s="213"/>
      <c r="H154" s="60"/>
      <c r="J154" s="54"/>
      <c r="K154" s="64"/>
      <c r="Q154" s="54"/>
      <c r="R154" s="54"/>
    </row>
    <row r="155" spans="2:18" ht="40.15" customHeight="1" x14ac:dyDescent="0.25">
      <c r="B155" s="59"/>
      <c r="C155" s="331" t="s">
        <v>334</v>
      </c>
      <c r="D155" s="327" t="s">
        <v>681</v>
      </c>
      <c r="E155" s="498">
        <f>IFERROR(FACalc_rodovia!I132,"")</f>
        <v>0</v>
      </c>
      <c r="F155" s="499">
        <f>IFERROR(FACalc_rodovia!J132,"")</f>
        <v>0</v>
      </c>
      <c r="G155" s="213"/>
      <c r="H155" s="60"/>
      <c r="J155" s="159"/>
      <c r="K155" s="54"/>
      <c r="Q155" s="54"/>
      <c r="R155" s="54"/>
    </row>
    <row r="156" spans="2:18" ht="40.15" customHeight="1" x14ac:dyDescent="0.25">
      <c r="B156" s="59"/>
      <c r="C156" s="333" t="s">
        <v>360</v>
      </c>
      <c r="D156" s="328" t="s">
        <v>681</v>
      </c>
      <c r="E156" s="368" t="str">
        <f>IFERROR(FACalc_rodovia!I133,"")</f>
        <v/>
      </c>
      <c r="F156" s="369" t="str">
        <f>IFERROR(FACalc_rodovia!J133,"")</f>
        <v/>
      </c>
      <c r="G156" s="213"/>
      <c r="H156" s="60"/>
      <c r="J156" s="54"/>
      <c r="K156" s="64"/>
      <c r="Q156" s="54"/>
      <c r="R156" s="64"/>
    </row>
    <row r="157" spans="2:18" ht="40.15" customHeight="1" x14ac:dyDescent="0.25">
      <c r="B157" s="59"/>
      <c r="C157" s="603"/>
      <c r="D157" s="394"/>
      <c r="E157" s="813"/>
      <c r="F157" s="813"/>
      <c r="G157" s="88"/>
      <c r="H157" s="60"/>
      <c r="J157" s="54"/>
      <c r="K157" s="64"/>
      <c r="Q157" s="54"/>
      <c r="R157" s="64"/>
    </row>
    <row r="158" spans="2:18" x14ac:dyDescent="0.25">
      <c r="B158" s="59"/>
      <c r="C158" s="1407" t="s">
        <v>972</v>
      </c>
      <c r="D158" s="1407"/>
      <c r="E158" s="1407"/>
      <c r="F158" s="1407"/>
      <c r="G158" s="115"/>
      <c r="H158" s="60"/>
      <c r="J158" s="54"/>
      <c r="K158" s="64"/>
      <c r="Q158" s="54"/>
      <c r="R158" s="64"/>
    </row>
    <row r="159" spans="2:18" ht="49.9" customHeight="1" x14ac:dyDescent="0.25">
      <c r="B159" s="59"/>
      <c r="C159" s="594"/>
      <c r="D159" s="759" t="s">
        <v>3</v>
      </c>
      <c r="E159" s="759" t="s">
        <v>400</v>
      </c>
      <c r="F159" s="759" t="s">
        <v>401</v>
      </c>
      <c r="G159" s="759" t="s">
        <v>403</v>
      </c>
      <c r="H159" s="60"/>
      <c r="J159" s="54"/>
      <c r="K159" s="64"/>
      <c r="Q159" s="54"/>
      <c r="R159" s="64"/>
    </row>
    <row r="160" spans="2:18" ht="40.15" customHeight="1" x14ac:dyDescent="0.25">
      <c r="B160" s="59"/>
      <c r="C160" s="804" t="s">
        <v>672</v>
      </c>
      <c r="D160" s="805" t="s">
        <v>889</v>
      </c>
      <c r="E160" s="806">
        <f>IFERROR((E135/FACalc_rodovia!$C$12),"")</f>
        <v>0</v>
      </c>
      <c r="F160" s="806">
        <f>IFERROR((E143/FACalc_rodovia!$C$12),"")</f>
        <v>0</v>
      </c>
      <c r="G160" s="807">
        <f>IFERROR((E151/FACalc_rodovia!$C$12),"")</f>
        <v>0</v>
      </c>
      <c r="H160" s="60"/>
      <c r="J160" s="54"/>
      <c r="K160" s="54"/>
      <c r="Q160" s="54"/>
      <c r="R160" s="54"/>
    </row>
    <row r="161" spans="2:18" ht="40.15" customHeight="1" x14ac:dyDescent="0.25">
      <c r="B161" s="59"/>
      <c r="C161" s="1248" t="s">
        <v>1321</v>
      </c>
      <c r="D161" s="805" t="s">
        <v>679</v>
      </c>
      <c r="E161" s="806">
        <f>IFERROR(E135,"")</f>
        <v>0</v>
      </c>
      <c r="F161" s="806">
        <f>IFERROR(E143,"")</f>
        <v>0</v>
      </c>
      <c r="G161" s="807">
        <f>IFERROR(E151,"")</f>
        <v>0</v>
      </c>
      <c r="H161" s="60"/>
      <c r="J161" s="54"/>
      <c r="K161" s="64"/>
      <c r="Q161" s="54"/>
      <c r="R161" s="54"/>
    </row>
    <row r="162" spans="2:18" ht="40.15" customHeight="1" x14ac:dyDescent="0.25">
      <c r="B162" s="59"/>
      <c r="C162" s="1248" t="s">
        <v>1341</v>
      </c>
      <c r="D162" s="805" t="s">
        <v>887</v>
      </c>
      <c r="E162" s="806" t="str">
        <f>IFERROR(E161/E47,"")</f>
        <v/>
      </c>
      <c r="F162" s="806" t="str">
        <f>IFERROR(F161/E56,"")</f>
        <v/>
      </c>
      <c r="G162" s="807" t="str">
        <f>IFERROR(G161/E59,"")</f>
        <v/>
      </c>
      <c r="H162" s="60"/>
      <c r="J162" s="54"/>
      <c r="K162" s="64"/>
      <c r="Q162" s="54"/>
      <c r="R162" s="54"/>
    </row>
    <row r="163" spans="2:18" ht="40.15" customHeight="1" x14ac:dyDescent="0.25">
      <c r="B163" s="59"/>
      <c r="C163" s="1248" t="s">
        <v>1342</v>
      </c>
      <c r="D163" s="808" t="s">
        <v>680</v>
      </c>
      <c r="E163" s="806" t="str">
        <f>IFERROR((E161/(E46*E47)),"")</f>
        <v/>
      </c>
      <c r="F163" s="806" t="str">
        <f>IFERROR((F161/(E56*E55)),"")</f>
        <v/>
      </c>
      <c r="G163" s="807" t="str">
        <f>IFERROR((G161/(E59*E58)),"")</f>
        <v/>
      </c>
      <c r="H163" s="60"/>
      <c r="J163" s="54"/>
      <c r="K163" s="54"/>
      <c r="Q163" s="54"/>
      <c r="R163" s="54"/>
    </row>
    <row r="164" spans="2:18" ht="15" customHeight="1" x14ac:dyDescent="0.25">
      <c r="B164" s="61"/>
      <c r="C164" s="75"/>
      <c r="D164" s="76"/>
      <c r="E164" s="76"/>
      <c r="F164" s="76"/>
      <c r="G164" s="76"/>
      <c r="H164" s="70"/>
      <c r="I164" s="54"/>
      <c r="J164" s="54"/>
      <c r="K164" s="54"/>
    </row>
  </sheetData>
  <sheetProtection algorithmName="SHA-512" hashValue="GXVrTXNHYFOcw+YRyjmgVTXMkIvD9u/3L21WpgElF8yj3Kq1JrwzXwXh6r+dfRqdr/wcE9StTWvowH8F0ai4EQ==" saltValue="5oaloMq3e6Ol6IiaXparMw==" spinCount="100000" sheet="1" objects="1" scenarios="1" selectLockedCells="1"/>
  <mergeCells count="94">
    <mergeCell ref="F51:G51"/>
    <mergeCell ref="F54:G54"/>
    <mergeCell ref="F50:G50"/>
    <mergeCell ref="F44:G44"/>
    <mergeCell ref="E41:G41"/>
    <mergeCell ref="D73:G73"/>
    <mergeCell ref="F108:G108"/>
    <mergeCell ref="F109:G109"/>
    <mergeCell ref="F110:G110"/>
    <mergeCell ref="F58:G58"/>
    <mergeCell ref="F59:G59"/>
    <mergeCell ref="D74:G74"/>
    <mergeCell ref="F81:G81"/>
    <mergeCell ref="C71:G71"/>
    <mergeCell ref="D72:G72"/>
    <mergeCell ref="F90:G90"/>
    <mergeCell ref="F91:G91"/>
    <mergeCell ref="F92:G92"/>
    <mergeCell ref="F93:G93"/>
    <mergeCell ref="F96:G96"/>
    <mergeCell ref="F100:G100"/>
    <mergeCell ref="F88:G88"/>
    <mergeCell ref="F104:G104"/>
    <mergeCell ref="F105:G105"/>
    <mergeCell ref="F103:G103"/>
    <mergeCell ref="F94:G94"/>
    <mergeCell ref="B2:M3"/>
    <mergeCell ref="J31:K31"/>
    <mergeCell ref="K22:L22"/>
    <mergeCell ref="J23:L25"/>
    <mergeCell ref="K6:L6"/>
    <mergeCell ref="C8:G8"/>
    <mergeCell ref="D15:G15"/>
    <mergeCell ref="D16:G16"/>
    <mergeCell ref="D17:G17"/>
    <mergeCell ref="D18:G18"/>
    <mergeCell ref="C15:C20"/>
    <mergeCell ref="D19:G19"/>
    <mergeCell ref="D20:F20"/>
    <mergeCell ref="J7:L11"/>
    <mergeCell ref="D11:G11"/>
    <mergeCell ref="C10:G10"/>
    <mergeCell ref="C89:D89"/>
    <mergeCell ref="C36:G36"/>
    <mergeCell ref="D37:G37"/>
    <mergeCell ref="F76:G76"/>
    <mergeCell ref="F78:G78"/>
    <mergeCell ref="F79:G79"/>
    <mergeCell ref="F80:G80"/>
    <mergeCell ref="C69:F69"/>
    <mergeCell ref="F62:G62"/>
    <mergeCell ref="D38:G38"/>
    <mergeCell ref="D39:G39"/>
    <mergeCell ref="F43:G43"/>
    <mergeCell ref="F45:G45"/>
    <mergeCell ref="F48:G48"/>
    <mergeCell ref="F57:G57"/>
    <mergeCell ref="F60:G60"/>
    <mergeCell ref="D12:G12"/>
    <mergeCell ref="D13:G13"/>
    <mergeCell ref="D14:G14"/>
    <mergeCell ref="C11:C14"/>
    <mergeCell ref="F61:G61"/>
    <mergeCell ref="F56:G56"/>
    <mergeCell ref="F47:G47"/>
    <mergeCell ref="C37:C39"/>
    <mergeCell ref="F49:G49"/>
    <mergeCell ref="D40:E40"/>
    <mergeCell ref="C40:C41"/>
    <mergeCell ref="F42:G42"/>
    <mergeCell ref="F52:G52"/>
    <mergeCell ref="F53:G53"/>
    <mergeCell ref="F55:G55"/>
    <mergeCell ref="F46:G46"/>
    <mergeCell ref="Q25:Q27"/>
    <mergeCell ref="O25:O27"/>
    <mergeCell ref="J32:K32"/>
    <mergeCell ref="J33:K34"/>
    <mergeCell ref="L33:L34"/>
    <mergeCell ref="P25:P27"/>
    <mergeCell ref="C158:F158"/>
    <mergeCell ref="F97:G97"/>
    <mergeCell ref="F98:G98"/>
    <mergeCell ref="F99:G99"/>
    <mergeCell ref="F102:G102"/>
    <mergeCell ref="C132:F132"/>
    <mergeCell ref="C121:F121"/>
    <mergeCell ref="F111:G111"/>
    <mergeCell ref="F106:G106"/>
    <mergeCell ref="F82:G82"/>
    <mergeCell ref="F84:G84"/>
    <mergeCell ref="F85:G85"/>
    <mergeCell ref="F86:G86"/>
    <mergeCell ref="F87:G87"/>
  </mergeCells>
  <dataValidations count="3">
    <dataValidation errorStyle="warning" allowBlank="1" showInputMessage="1" showErrorMessage="1" error="Não Introduzir valor" sqref="F28:F29 E49:E50 E52:E53 E61:E62 E55:E56 E58:E59 F25:F26 E44 F31:F32 E46:E47" xr:uid="{3F2BD656-487D-4407-B595-30899A256531}"/>
    <dataValidation type="list" allowBlank="1" showInputMessage="1" showErrorMessage="1" sqref="K6" xr:uid="{32900171-9DE0-4C52-92B7-92FCC6D35660}">
      <formula1>$T$7:$T$9</formula1>
    </dataValidation>
    <dataValidation type="list" allowBlank="1" showInputMessage="1" showErrorMessage="1" sqref="K22:L22" xr:uid="{A944E082-6A44-4350-9AAD-9EA623CC2E32}">
      <formula1>$T$23:$T$26</formula1>
    </dataValidation>
  </dataValidations>
  <hyperlinks>
    <hyperlink ref="E41:G41" r:id="rId1" display="Mobilidade e funcionalidade do território nas Áreas Metropolitanas do Porto e de Lisboa : 2017" xr:uid="{BB5AE92E-B3DA-465E-9DC5-410C133A4FA1}"/>
    <hyperlink ref="G124" location="TM2_rodovia!F22" display="TM2_rodovia!F22" xr:uid="{7B48148B-5222-49B5-87A8-24D8BF1BCD5C}"/>
    <hyperlink ref="G20" location="'Fatores de Emissão'!A1" display="Fatores de Emissão" xr:uid="{E8B8EDBC-87C7-4215-90A8-767F1C574590}"/>
  </hyperlinks>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90" id="{E54EDE87-C5D5-41F9-ACF4-984DAB4CD382}">
            <xm:f>FACalc_rodovia!$C$11=FAListas!#REF!</xm:f>
            <x14:dxf>
              <fill>
                <patternFill>
                  <bgColor theme="1"/>
                </patternFill>
              </fill>
            </x14:dxf>
          </x14:cfRule>
          <xm:sqref>E42 E77:E81 E83:E87 E89:E93 E95:E99 E101:E105 E107:E111 C122:G128 C129:F129</xm:sqref>
        </x14:conditionalFormatting>
        <x14:conditionalFormatting xmlns:xm="http://schemas.microsoft.com/office/excel/2006/main">
          <x14:cfRule type="expression" priority="800" id="{FEFB13A6-6B80-4860-905A-8616712DDBD6}">
            <xm:f>#REF!=FAListas!#REF!</xm:f>
            <x14:dxf>
              <fill>
                <patternFill>
                  <bgColor theme="1"/>
                </patternFill>
              </fill>
            </x14:dxf>
          </x14:cfRule>
          <xm:sqref>E78:E81 E84:E87 E90:E93 E96:E99 E102:E105 E108:E111</xm:sqref>
        </x14:conditionalFormatting>
        <x14:conditionalFormatting xmlns:xm="http://schemas.microsoft.com/office/excel/2006/main">
          <x14:cfRule type="expression" priority="808" id="{BECC866D-D3CA-4CA8-9E69-3DF3C6D999A1}">
            <xm:f>IF(#REF!=FAListas!#REF!, TRUE, IF(#REF!=FAListas!$C$60, TRUE))</xm:f>
            <x14:dxf>
              <fill>
                <patternFill>
                  <bgColor theme="1"/>
                </patternFill>
              </fill>
            </x14:dxf>
          </x14:cfRule>
          <xm:sqref>E109:E110</xm:sqref>
        </x14:conditionalFormatting>
        <x14:conditionalFormatting xmlns:xm="http://schemas.microsoft.com/office/excel/2006/main">
          <x14:cfRule type="expression" priority="810" id="{7E06CA02-E907-45DE-8AA9-8C5688A0E08F}">
            <xm:f>IF(F23=FAListas!#REF!, TRUE, IF(#REF!=FAListas!$C$60, TRUE))</xm:f>
            <x14:dxf>
              <fill>
                <patternFill>
                  <bgColor theme="1"/>
                </patternFill>
              </fill>
            </x14:dxf>
          </x14:cfRule>
          <xm:sqref>E111</xm:sqref>
        </x14:conditionalFormatting>
        <x14:conditionalFormatting xmlns:xm="http://schemas.microsoft.com/office/excel/2006/main">
          <x14:cfRule type="expression" priority="811" id="{EFE7874D-3617-4BA7-8B33-ED090CA76B97}">
            <xm:f>IF(#REF!=FAListas!$C$6,TRUE, IF(#REF!=FAListas!#REF!, TRUE,""))</xm:f>
            <x14:dxf>
              <fill>
                <patternFill>
                  <bgColor theme="1"/>
                </patternFill>
              </fill>
            </x14:dxf>
          </x14:cfRule>
          <xm:sqref>E123:F123 E128 E129:F129 E134:F134 E138:F138 E142:F142 E146:F146 E150:F150 E154:F154</xm:sqref>
        </x14:conditionalFormatting>
        <x14:conditionalFormatting xmlns:xm="http://schemas.microsoft.com/office/excel/2006/main">
          <x14:cfRule type="expression" priority="5" id="{A771D777-73EA-48E4-9A6C-3B7C597E9B5F}">
            <xm:f>#REF!=FAListas!#REF!</xm:f>
            <x14:dxf>
              <fill>
                <patternFill>
                  <bgColor theme="1"/>
                </patternFill>
              </fill>
            </x14:dxf>
          </x14:cfRule>
          <xm:sqref>E124:F129</xm:sqref>
        </x14:conditionalFormatting>
        <x14:conditionalFormatting xmlns:xm="http://schemas.microsoft.com/office/excel/2006/main">
          <x14:cfRule type="expression" priority="6" id="{0C786230-FAB2-4AC8-882B-29C979913A91}">
            <xm:f>IF(#REF!=FAListas!$C$6,TRUE, IF(#REF!=FAListas!#REF!, TRUE,""))</xm:f>
            <x14:dxf>
              <fill>
                <patternFill>
                  <bgColor theme="1"/>
                </patternFill>
              </fill>
            </x14:dxf>
          </x14:cfRule>
          <xm:sqref>E126:F126</xm:sqref>
        </x14:conditionalFormatting>
        <x14:conditionalFormatting xmlns:xm="http://schemas.microsoft.com/office/excel/2006/main">
          <x14:cfRule type="expression" priority="389" id="{6ED56F06-7720-42E8-91CA-4FAC733BF854}">
            <xm:f>FACalc_rodovia!$C$11=FAListas!$C$6</xm:f>
            <x14:dxf>
              <fill>
                <patternFill>
                  <bgColor theme="1"/>
                </patternFill>
              </fill>
            </x14:dxf>
          </x14:cfRule>
          <xm:sqref>F83 F89 F95 F101 F107</xm:sqref>
        </x14:conditionalFormatting>
        <x14:conditionalFormatting xmlns:xm="http://schemas.microsoft.com/office/excel/2006/main">
          <x14:cfRule type="expression" priority="4" id="{A513DE29-96BB-43CE-B134-8930548905FB}">
            <xm:f>AND($E$25=FAListas!$C$31,OR($E$26=FAListas!$C$34,$E$26=FAListas!$C$35))</xm:f>
            <x14:dxf>
              <font>
                <color theme="1"/>
              </font>
              <fill>
                <patternFill>
                  <bgColor theme="1"/>
                </patternFill>
              </fill>
            </x14:dxf>
          </x14:cfRule>
          <xm:sqref>F24:G24</xm:sqref>
        </x14:conditionalFormatting>
        <x14:conditionalFormatting xmlns:xm="http://schemas.microsoft.com/office/excel/2006/main">
          <x14:cfRule type="expression" priority="163" id="{890FF630-6A80-4853-95BF-AE85423DDD63}">
            <xm:f>IF($E$25=FAListas!$C$31,TRUE, "")</xm:f>
            <x14:dxf>
              <fill>
                <patternFill patternType="solid">
                  <fgColor rgb="FFFF0000"/>
                  <bgColor theme="1"/>
                </patternFill>
              </fill>
            </x14:dxf>
          </x14:cfRule>
          <xm:sqref>F25:G25</xm:sqref>
        </x14:conditionalFormatting>
        <x14:conditionalFormatting xmlns:xm="http://schemas.microsoft.com/office/excel/2006/main">
          <x14:cfRule type="expression" priority="131" id="{CC9FD049-95CC-4D87-ABF0-D800073DE8ED}">
            <xm:f>IF($E$26=FAListas!$C$34,TRUE,IF($E$26=FAListas!$C$35,TRUE,""))</xm:f>
            <x14:dxf>
              <fill>
                <patternFill>
                  <bgColor theme="1"/>
                </patternFill>
              </fill>
            </x14:dxf>
          </x14:cfRule>
          <xm:sqref>F26:G26</xm:sqref>
        </x14:conditionalFormatting>
        <x14:conditionalFormatting xmlns:xm="http://schemas.microsoft.com/office/excel/2006/main">
          <x14:cfRule type="expression" priority="2" id="{B5AA16DD-688D-45AE-BE4B-7908FD34924A}">
            <xm:f>AND(OR($E$28=FAListas!$C$38,$E$28=FAListas!$C$39),OR($E$29=FAListas!$C$42,$E$29=FAListas!$C$43))</xm:f>
            <x14:dxf>
              <font>
                <color theme="1"/>
              </font>
              <fill>
                <patternFill>
                  <bgColor theme="1"/>
                </patternFill>
              </fill>
            </x14:dxf>
          </x14:cfRule>
          <xm:sqref>F27:G27</xm:sqref>
        </x14:conditionalFormatting>
        <x14:conditionalFormatting xmlns:xm="http://schemas.microsoft.com/office/excel/2006/main">
          <x14:cfRule type="expression" priority="43" id="{669D9738-D9C5-4A2C-B053-AFE453EA78F7}">
            <xm:f>IF($E$28=FAListas!$C$38,TRUE,IF($E$28=FAListas!$C$39,TRUE,""))</xm:f>
            <x14:dxf>
              <fill>
                <patternFill>
                  <bgColor theme="1"/>
                </patternFill>
              </fill>
            </x14:dxf>
          </x14:cfRule>
          <xm:sqref>F28:G28</xm:sqref>
        </x14:conditionalFormatting>
        <x14:conditionalFormatting xmlns:xm="http://schemas.microsoft.com/office/excel/2006/main">
          <x14:cfRule type="expression" priority="130" id="{23CF9D32-CD43-4E7A-9BAC-B636D5914EBB}">
            <xm:f>OR($E$29=FAListas!$C$42,$E$29=FAListas!$C$43)</xm:f>
            <x14:dxf>
              <fill>
                <patternFill patternType="solid">
                  <fgColor rgb="FFFF0000"/>
                  <bgColor theme="1"/>
                </patternFill>
              </fill>
            </x14:dxf>
          </x14:cfRule>
          <xm:sqref>F29:G29</xm:sqref>
        </x14:conditionalFormatting>
        <x14:conditionalFormatting xmlns:xm="http://schemas.microsoft.com/office/excel/2006/main">
          <x14:cfRule type="expression" priority="1" id="{1F8503F5-2A2D-4578-ACFF-20096FB68A60}">
            <xm:f>AND(OR($E$31=FAListas!$C$46,$E$31=FAListas!$C$47),OR($E$32=FAListas!$C$50,$E$32=FAListas!$C$51))</xm:f>
            <x14:dxf>
              <font>
                <color rgb="FF000000"/>
              </font>
              <fill>
                <patternFill>
                  <bgColor theme="1"/>
                </patternFill>
              </fill>
            </x14:dxf>
          </x14:cfRule>
          <xm:sqref>F30:G30</xm:sqref>
        </x14:conditionalFormatting>
        <x14:conditionalFormatting xmlns:xm="http://schemas.microsoft.com/office/excel/2006/main">
          <x14:cfRule type="expression" priority="124" id="{003EDA84-9A7C-414B-AAAE-37FDA75093A0}">
            <xm:f>IF($E$31=FAListas!$C$46,TRUE,IF($E$31=FAListas!$C$47,TRUE,""))</xm:f>
            <x14:dxf>
              <fill>
                <patternFill patternType="solid">
                  <fgColor rgb="FFFF0000"/>
                  <bgColor theme="1"/>
                </patternFill>
              </fill>
            </x14:dxf>
          </x14:cfRule>
          <xm:sqref>F31:G31</xm:sqref>
        </x14:conditionalFormatting>
        <x14:conditionalFormatting xmlns:xm="http://schemas.microsoft.com/office/excel/2006/main">
          <x14:cfRule type="expression" priority="125" id="{F0A5032C-F9CF-4BBC-8550-028CB992623E}">
            <xm:f>OR($E$32=FAListas!$C$50,$E$32=FAListas!$C$51)</xm:f>
            <x14:dxf>
              <fill>
                <patternFill patternType="solid">
                  <fgColor rgb="FFFF0000"/>
                  <bgColor theme="1"/>
                </patternFill>
              </fill>
            </x14:dxf>
          </x14:cfRule>
          <xm:sqref>F32:G32</xm:sqref>
        </x14:conditionalFormatting>
        <x14:conditionalFormatting xmlns:xm="http://schemas.microsoft.com/office/excel/2006/main">
          <x14:cfRule type="expression" priority="3" id="{61FA6E13-ED05-4510-A925-23E389236EB6}">
            <xm:f>FACalc_ferrovia!$C$10=FAListas!#REF!</xm:f>
            <x14:dxf>
              <fill>
                <patternFill>
                  <bgColor theme="1"/>
                </patternFill>
              </fill>
            </x14:dxf>
          </x14:cfRule>
          <xm:sqref>G129</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9FA0F958-EA92-46C6-87BA-1F008A55FF37}">
          <x14:formula1>
            <xm:f>FAListas!$C$55:$C$57</xm:f>
          </x14:formula1>
          <xm:sqref>E33</xm:sqref>
        </x14:dataValidation>
        <x14:dataValidation type="list" allowBlank="1" showInputMessage="1" showErrorMessage="1" xr:uid="{CB8B60A5-6728-419B-A6C8-462E6CBC7649}">
          <x14:formula1>
            <xm:f>FAListas!$C$29:$C$31</xm:f>
          </x14:formula1>
          <xm:sqref>E25</xm:sqref>
        </x14:dataValidation>
        <x14:dataValidation type="list" allowBlank="1" showInputMessage="1" showErrorMessage="1" xr:uid="{1E85845B-F546-49ED-A021-0FD4349A2192}">
          <x14:formula1>
            <xm:f>FAListas!$C$36:$C$39</xm:f>
          </x14:formula1>
          <xm:sqref>E28</xm:sqref>
        </x14:dataValidation>
        <x14:dataValidation type="list" allowBlank="1" showInputMessage="1" showErrorMessage="1" xr:uid="{AE8053FC-0E0F-4749-86D4-77DBCA2F0531}">
          <x14:formula1>
            <xm:f>FAListas!$C$40:$C$43</xm:f>
          </x14:formula1>
          <xm:sqref>E29</xm:sqref>
        </x14:dataValidation>
        <x14:dataValidation type="list" allowBlank="1" showInputMessage="1" showErrorMessage="1" xr:uid="{D0B66830-7AA8-4B1E-85C9-7BB1D4F6A6C3}">
          <x14:formula1>
            <xm:f>FAListas!$C$44:$C$47</xm:f>
          </x14:formula1>
          <xm:sqref>E31</xm:sqref>
        </x14:dataValidation>
        <x14:dataValidation type="list" allowBlank="1" showInputMessage="1" showErrorMessage="1" xr:uid="{46778738-9E68-405E-911E-A2E73B4ADF0C}">
          <x14:formula1>
            <xm:f>FAListas!$C$48:$C$51</xm:f>
          </x14:formula1>
          <xm:sqref>E32</xm:sqref>
        </x14:dataValidation>
        <x14:dataValidation type="list" allowBlank="1" showInputMessage="1" showErrorMessage="1" xr:uid="{4E651E67-C86C-48CD-BAE1-E06673AFA6D1}">
          <x14:formula1>
            <xm:f>FAListas!$C$32:$C$35</xm:f>
          </x14:formula1>
          <xm:sqref>E26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A528D-050F-4712-958C-909E7998888C}">
  <sheetPr codeName="Sheet14">
    <tabColor rgb="FF02A39C"/>
  </sheetPr>
  <dimension ref="A1:V176"/>
  <sheetViews>
    <sheetView showGridLines="0" zoomScale="66" zoomScaleNormal="66" workbookViewId="0">
      <pane ySplit="2" topLeftCell="A3" activePane="bottomLeft" state="frozen"/>
      <selection activeCell="D13" sqref="D13"/>
      <selection pane="bottomLeft" activeCell="K4" sqref="K4:L4"/>
    </sheetView>
  </sheetViews>
  <sheetFormatPr defaultRowHeight="46.9" customHeight="1" x14ac:dyDescent="0.25"/>
  <cols>
    <col min="1" max="1" width="3.7109375" customWidth="1"/>
    <col min="2" max="2" width="2.7109375" customWidth="1"/>
    <col min="3" max="3" width="47" customWidth="1"/>
    <col min="4" max="4" width="32.140625" customWidth="1"/>
    <col min="5" max="5" width="35.42578125" customWidth="1"/>
    <col min="6" max="6" width="36.7109375" customWidth="1"/>
    <col min="7" max="7" width="39.140625" customWidth="1"/>
    <col min="8" max="8" width="2.7109375" customWidth="1"/>
    <col min="9" max="9" width="9" customWidth="1"/>
    <col min="10" max="10" width="32.85546875" customWidth="1"/>
    <col min="11" max="11" width="26.5703125" customWidth="1"/>
    <col min="12" max="12" width="30.7109375" customWidth="1"/>
    <col min="13" max="13" width="35.7109375" customWidth="1"/>
    <col min="20" max="21" width="40.7109375" hidden="1" customWidth="1"/>
  </cols>
  <sheetData>
    <row r="1" spans="1:22" ht="24" customHeight="1" x14ac:dyDescent="0.25"/>
    <row r="2" spans="1:22" s="4" customFormat="1" ht="70.150000000000006" customHeight="1" x14ac:dyDescent="0.25">
      <c r="A2" s="297"/>
      <c r="C2" s="373" t="s">
        <v>712</v>
      </c>
      <c r="D2" s="52"/>
      <c r="E2" s="52"/>
      <c r="F2" s="52"/>
      <c r="G2" s="52"/>
      <c r="H2" s="52"/>
      <c r="I2" s="52"/>
      <c r="J2" s="52"/>
      <c r="K2" s="52"/>
      <c r="L2" s="52"/>
      <c r="M2" s="52"/>
      <c r="N2" s="52"/>
      <c r="O2" s="52"/>
      <c r="P2" s="52"/>
      <c r="Q2" s="52"/>
      <c r="R2" s="52"/>
      <c r="S2" s="52"/>
      <c r="T2" s="52"/>
      <c r="U2" s="52"/>
      <c r="V2" s="52"/>
    </row>
    <row r="3" spans="1:22" ht="46.9" customHeight="1" thickBot="1" x14ac:dyDescent="0.3"/>
    <row r="4" spans="1:22" ht="46.9" customHeight="1" thickBot="1" x14ac:dyDescent="0.3">
      <c r="B4" s="66"/>
      <c r="C4" s="66" t="s">
        <v>814</v>
      </c>
      <c r="D4" s="57"/>
      <c r="E4" s="57"/>
      <c r="F4" s="57"/>
      <c r="G4" s="57"/>
      <c r="H4" s="58"/>
      <c r="I4" s="56"/>
      <c r="J4" s="562" t="s">
        <v>608</v>
      </c>
      <c r="K4" s="1412" t="s">
        <v>603</v>
      </c>
      <c r="L4" s="1413"/>
      <c r="T4" s="560" t="s">
        <v>603</v>
      </c>
      <c r="U4" s="554" t="s">
        <v>831</v>
      </c>
    </row>
    <row r="5" spans="1:22" ht="15" customHeight="1" x14ac:dyDescent="0.25">
      <c r="B5" s="512"/>
      <c r="C5" s="56"/>
      <c r="D5" s="56"/>
      <c r="E5" s="56"/>
      <c r="F5" s="56"/>
      <c r="G5" s="56"/>
      <c r="H5" s="511"/>
      <c r="I5" s="56"/>
      <c r="J5" s="1414" t="str">
        <f>IF(K4="","",VLOOKUP(K4,T4:U6,2,FALSE))</f>
        <v>Cálculo das emissões absolutas (Ab), das emissões emissões de referência (Be) e das emissões relativas (Re= Ab - Be)  de projetos de transporte ferroviário de passageiros, metro e elétricos que impliquem transferência modal.</v>
      </c>
      <c r="K5" s="1415"/>
      <c r="L5" s="1416"/>
      <c r="T5" s="560" t="s">
        <v>606</v>
      </c>
      <c r="U5" s="553" t="s">
        <v>832</v>
      </c>
    </row>
    <row r="6" spans="1:22" ht="24" customHeight="1" x14ac:dyDescent="0.25">
      <c r="B6" s="59"/>
      <c r="C6" s="116" t="s">
        <v>489</v>
      </c>
      <c r="D6" s="115"/>
      <c r="E6" s="115"/>
      <c r="F6" s="115"/>
      <c r="G6" s="115"/>
      <c r="H6" s="69"/>
      <c r="I6" s="54"/>
      <c r="J6" s="1417"/>
      <c r="K6" s="1418"/>
      <c r="L6" s="1419"/>
      <c r="T6" s="560" t="s">
        <v>713</v>
      </c>
      <c r="U6" s="561" t="s">
        <v>724</v>
      </c>
    </row>
    <row r="7" spans="1:22" ht="15" customHeight="1" x14ac:dyDescent="0.25">
      <c r="B7" s="59"/>
      <c r="C7" s="92"/>
      <c r="D7" s="92"/>
      <c r="E7" s="92"/>
      <c r="F7" s="92"/>
      <c r="G7" s="92"/>
      <c r="H7" s="69"/>
      <c r="I7" s="54"/>
      <c r="J7" s="1417"/>
      <c r="K7" s="1418"/>
      <c r="L7" s="1419"/>
    </row>
    <row r="8" spans="1:22" ht="46.9" customHeight="1" x14ac:dyDescent="0.25">
      <c r="B8" s="59"/>
      <c r="C8" s="686" t="s">
        <v>634</v>
      </c>
      <c r="D8" s="687"/>
      <c r="E8" s="687"/>
      <c r="F8" s="687"/>
      <c r="G8" s="687"/>
      <c r="H8" s="69"/>
      <c r="I8" s="54"/>
      <c r="J8" s="1417"/>
      <c r="K8" s="1418"/>
      <c r="L8" s="1419"/>
    </row>
    <row r="9" spans="1:22" ht="46.9" customHeight="1" thickBot="1" x14ac:dyDescent="0.3">
      <c r="B9" s="59"/>
      <c r="C9" s="639" t="s">
        <v>611</v>
      </c>
      <c r="D9" s="1460" t="s">
        <v>622</v>
      </c>
      <c r="E9" s="1461"/>
      <c r="F9" s="1461"/>
      <c r="G9" s="1462"/>
      <c r="H9" s="69"/>
      <c r="I9" s="54"/>
      <c r="J9" s="1420"/>
      <c r="K9" s="1421"/>
      <c r="L9" s="1422"/>
    </row>
    <row r="10" spans="1:22" ht="24" customHeight="1" x14ac:dyDescent="0.25">
      <c r="B10" s="59"/>
      <c r="C10" s="640"/>
      <c r="D10" s="1463" t="s">
        <v>635</v>
      </c>
      <c r="E10" s="1464"/>
      <c r="F10" s="1464"/>
      <c r="G10" s="1465"/>
      <c r="H10" s="69"/>
      <c r="I10" s="54"/>
      <c r="J10" s="137"/>
      <c r="K10" s="137"/>
      <c r="L10" s="137"/>
    </row>
    <row r="11" spans="1:22" ht="24" customHeight="1" x14ac:dyDescent="0.25">
      <c r="B11" s="59"/>
      <c r="C11" s="640"/>
      <c r="D11" s="1466" t="s">
        <v>636</v>
      </c>
      <c r="E11" s="1467"/>
      <c r="F11" s="1467"/>
      <c r="G11" s="1468"/>
      <c r="H11" s="69"/>
      <c r="I11" s="54"/>
      <c r="J11" s="137"/>
      <c r="K11" s="137"/>
      <c r="L11" s="137"/>
    </row>
    <row r="12" spans="1:22" ht="61.15" customHeight="1" x14ac:dyDescent="0.25">
      <c r="B12" s="59"/>
      <c r="C12" s="641"/>
      <c r="D12" s="1460" t="s">
        <v>836</v>
      </c>
      <c r="E12" s="1461"/>
      <c r="F12" s="1461"/>
      <c r="G12" s="1462"/>
      <c r="H12" s="69"/>
      <c r="I12" s="54"/>
      <c r="J12" s="137"/>
      <c r="K12" s="137"/>
      <c r="L12" s="137"/>
    </row>
    <row r="13" spans="1:22" ht="46.9" customHeight="1" x14ac:dyDescent="0.25">
      <c r="B13" s="59"/>
      <c r="C13" s="1450" t="s">
        <v>609</v>
      </c>
      <c r="D13" s="1463" t="s">
        <v>728</v>
      </c>
      <c r="E13" s="1464"/>
      <c r="F13" s="1464"/>
      <c r="G13" s="1465"/>
      <c r="H13" s="69"/>
      <c r="I13" s="54"/>
      <c r="J13" s="137"/>
      <c r="K13" s="137"/>
      <c r="L13" s="137"/>
    </row>
    <row r="14" spans="1:22" ht="24" customHeight="1" x14ac:dyDescent="0.25">
      <c r="B14" s="59"/>
      <c r="C14" s="1469"/>
      <c r="D14" s="1431" t="s">
        <v>610</v>
      </c>
      <c r="E14" s="1432"/>
      <c r="F14" s="1432"/>
      <c r="G14" s="1470"/>
      <c r="H14" s="69"/>
      <c r="I14" s="54"/>
      <c r="J14" s="207"/>
      <c r="K14" s="48"/>
    </row>
    <row r="15" spans="1:22" ht="24" customHeight="1" x14ac:dyDescent="0.25">
      <c r="B15" s="59"/>
      <c r="C15" s="1469"/>
      <c r="D15" s="1471" t="s">
        <v>837</v>
      </c>
      <c r="E15" s="1472"/>
      <c r="F15" s="1472"/>
      <c r="G15" s="1473"/>
      <c r="H15" s="69"/>
      <c r="I15" s="54"/>
      <c r="J15" s="207"/>
      <c r="K15" s="48"/>
    </row>
    <row r="16" spans="1:22" ht="40.15" customHeight="1" x14ac:dyDescent="0.25">
      <c r="B16" s="59"/>
      <c r="C16" s="1469"/>
      <c r="D16" s="1474" t="s">
        <v>725</v>
      </c>
      <c r="E16" s="1289"/>
      <c r="F16" s="1289"/>
      <c r="G16" s="1475"/>
      <c r="H16" s="69"/>
      <c r="I16" s="54"/>
      <c r="J16" s="207"/>
      <c r="K16" s="48"/>
    </row>
    <row r="17" spans="2:21" ht="40.15" customHeight="1" x14ac:dyDescent="0.25">
      <c r="B17" s="59"/>
      <c r="C17" s="1469"/>
      <c r="D17" s="1476" t="s">
        <v>726</v>
      </c>
      <c r="E17" s="1477"/>
      <c r="F17" s="1477"/>
      <c r="G17" s="1478"/>
      <c r="H17" s="69"/>
      <c r="I17" s="54"/>
      <c r="J17" s="207"/>
      <c r="K17" s="48"/>
    </row>
    <row r="18" spans="2:21" ht="78.599999999999994" customHeight="1" x14ac:dyDescent="0.25">
      <c r="B18" s="59"/>
      <c r="C18" s="1451"/>
      <c r="D18" s="1460" t="s">
        <v>939</v>
      </c>
      <c r="E18" s="1461"/>
      <c r="F18" s="1461"/>
      <c r="G18" s="1109" t="s">
        <v>81</v>
      </c>
      <c r="H18" s="69"/>
      <c r="I18" s="54"/>
      <c r="J18" s="207"/>
      <c r="K18" s="48"/>
    </row>
    <row r="19" spans="2:21" ht="24" customHeight="1" thickBot="1" x14ac:dyDescent="0.3">
      <c r="B19" s="59"/>
      <c r="C19" s="92"/>
      <c r="D19" s="92"/>
      <c r="E19" s="92"/>
      <c r="F19" s="92"/>
      <c r="G19" s="92"/>
      <c r="H19" s="69"/>
      <c r="I19" s="54"/>
      <c r="J19" s="207"/>
      <c r="K19" s="48"/>
    </row>
    <row r="20" spans="2:21" s="374" customFormat="1" ht="46.9" customHeight="1" thickBot="1" x14ac:dyDescent="0.4">
      <c r="B20" s="375"/>
      <c r="C20" s="298" t="s">
        <v>483</v>
      </c>
      <c r="D20" s="299"/>
      <c r="E20" s="219" t="s">
        <v>195</v>
      </c>
      <c r="F20" s="219" t="s">
        <v>157</v>
      </c>
      <c r="G20" s="220" t="s">
        <v>623</v>
      </c>
      <c r="H20" s="376"/>
      <c r="I20" s="377"/>
      <c r="J20" s="562" t="s">
        <v>608</v>
      </c>
      <c r="K20" s="1412" t="s">
        <v>614</v>
      </c>
      <c r="L20" s="1413"/>
      <c r="T20" s="41"/>
      <c r="U20" s="41"/>
    </row>
    <row r="21" spans="2:21" ht="70.150000000000006" customHeight="1" x14ac:dyDescent="0.25">
      <c r="B21" s="59"/>
      <c r="C21" s="291" t="s">
        <v>319</v>
      </c>
      <c r="D21" s="292" t="s">
        <v>617</v>
      </c>
      <c r="E21" s="339" t="s">
        <v>376</v>
      </c>
      <c r="F21" s="1104"/>
      <c r="G21" s="1239" t="s">
        <v>482</v>
      </c>
      <c r="H21" s="69"/>
      <c r="I21" s="54"/>
      <c r="J21" s="1414" t="str">
        <f>IF(K20="","",VLOOKUP(K20,T21:U24,2,FALSE))</f>
        <v>A GEE_mobilidade disponibiliza uma calculadora (calculadora A) para estimar os fatores de emissão do transporte elétrico no separador "Cálculos adicionais_utilizador" (aceder através do "Índice" da GEE_mobilidade). Os dados necessários para este cálculo são os seguintes:  Fator de emissão da eletricidade (kgCO2e/ kWh); Consumo de electricidade (kWh/km) especifico do transporte e o Número médio de passageiros por autocarro. Os fatores de emissão resultantes (campos a verde)  devem ser introduzidos na coluna "Valor" a azul do respectivo tipo de transporte.</v>
      </c>
      <c r="K21" s="1415"/>
      <c r="L21" s="1416"/>
      <c r="M21" s="88"/>
      <c r="T21" s="41" t="s">
        <v>614</v>
      </c>
      <c r="U21" s="46" t="s">
        <v>699</v>
      </c>
    </row>
    <row r="22" spans="2:21" ht="46.9" customHeight="1" x14ac:dyDescent="0.25">
      <c r="B22" s="59"/>
      <c r="C22" s="298" t="s">
        <v>329</v>
      </c>
      <c r="D22" s="218"/>
      <c r="E22" s="219" t="s">
        <v>195</v>
      </c>
      <c r="F22" s="230" t="s">
        <v>157</v>
      </c>
      <c r="G22" s="220" t="s">
        <v>623</v>
      </c>
      <c r="H22" s="69"/>
      <c r="I22" s="54"/>
      <c r="J22" s="1417"/>
      <c r="K22" s="1418"/>
      <c r="L22" s="1419"/>
      <c r="M22" s="100"/>
      <c r="O22" s="254"/>
      <c r="P22" s="100"/>
      <c r="Q22" s="100"/>
      <c r="R22" s="100"/>
      <c r="T22" s="554" t="s">
        <v>693</v>
      </c>
      <c r="U22" s="41" t="s">
        <v>697</v>
      </c>
    </row>
    <row r="23" spans="2:21" ht="70.150000000000006" customHeight="1" thickBot="1" x14ac:dyDescent="0.3">
      <c r="B23" s="59"/>
      <c r="C23" s="291" t="s">
        <v>352</v>
      </c>
      <c r="D23" s="292" t="s">
        <v>616</v>
      </c>
      <c r="E23" s="1106" t="s">
        <v>146</v>
      </c>
      <c r="F23" s="1105"/>
      <c r="G23" s="1239" t="s">
        <v>482</v>
      </c>
      <c r="H23" s="69"/>
      <c r="I23" s="54"/>
      <c r="J23" s="1420"/>
      <c r="K23" s="1421"/>
      <c r="L23" s="1422"/>
      <c r="M23" s="88"/>
      <c r="O23" s="88"/>
      <c r="P23" s="1449"/>
      <c r="Q23" s="1449"/>
      <c r="R23" s="1449"/>
      <c r="T23" s="554"/>
      <c r="U23" s="41"/>
    </row>
    <row r="24" spans="2:21" ht="46.9" customHeight="1" x14ac:dyDescent="0.25">
      <c r="B24" s="59"/>
      <c r="C24" s="310" t="s">
        <v>330</v>
      </c>
      <c r="D24" s="484"/>
      <c r="E24" s="219" t="s">
        <v>195</v>
      </c>
      <c r="F24" s="230" t="s">
        <v>157</v>
      </c>
      <c r="G24" s="220" t="s">
        <v>623</v>
      </c>
      <c r="H24" s="69"/>
      <c r="I24" s="54"/>
      <c r="N24" s="138"/>
      <c r="O24" s="138"/>
      <c r="P24" s="1449"/>
      <c r="Q24" s="1449"/>
      <c r="R24" s="1449"/>
    </row>
    <row r="25" spans="2:21" ht="70.150000000000006" customHeight="1" x14ac:dyDescent="0.25">
      <c r="B25" s="59"/>
      <c r="C25" s="291" t="s">
        <v>352</v>
      </c>
      <c r="D25" s="292" t="s">
        <v>616</v>
      </c>
      <c r="E25" s="1237" t="s">
        <v>146</v>
      </c>
      <c r="F25" s="1105"/>
      <c r="G25" s="1239" t="s">
        <v>482</v>
      </c>
      <c r="H25" s="69"/>
      <c r="I25" s="54"/>
      <c r="J25" s="278"/>
      <c r="K25" s="278"/>
      <c r="L25" s="278"/>
      <c r="N25" s="138"/>
      <c r="O25" s="138"/>
      <c r="P25" s="256"/>
      <c r="Q25" s="256"/>
      <c r="R25" s="256"/>
    </row>
    <row r="26" spans="2:21" ht="46.9" customHeight="1" x14ac:dyDescent="0.25">
      <c r="B26" s="59"/>
      <c r="C26" s="310" t="s">
        <v>331</v>
      </c>
      <c r="D26" s="484"/>
      <c r="E26" s="219" t="s">
        <v>195</v>
      </c>
      <c r="F26" s="230" t="s">
        <v>157</v>
      </c>
      <c r="G26" s="220" t="s">
        <v>623</v>
      </c>
      <c r="H26" s="69"/>
      <c r="I26" s="54"/>
      <c r="J26" s="565"/>
      <c r="K26" s="565"/>
      <c r="L26" s="445"/>
      <c r="N26" s="138"/>
      <c r="O26" s="138"/>
      <c r="P26" s="256"/>
      <c r="Q26" s="256"/>
      <c r="R26" s="256"/>
    </row>
    <row r="27" spans="2:21" ht="70.150000000000006" customHeight="1" x14ac:dyDescent="0.25">
      <c r="B27" s="59"/>
      <c r="C27" s="291" t="s">
        <v>352</v>
      </c>
      <c r="D27" s="292" t="s">
        <v>616</v>
      </c>
      <c r="E27" s="1106" t="s">
        <v>146</v>
      </c>
      <c r="F27" s="1105"/>
      <c r="G27" s="1239" t="s">
        <v>482</v>
      </c>
      <c r="H27" s="69"/>
      <c r="I27" s="54"/>
      <c r="J27" s="1418"/>
      <c r="K27" s="1418"/>
      <c r="L27" s="307"/>
      <c r="N27" s="138"/>
      <c r="O27" s="138"/>
      <c r="P27" s="256"/>
      <c r="Q27" s="256"/>
      <c r="R27" s="256"/>
    </row>
    <row r="28" spans="2:21" ht="46.9" customHeight="1" x14ac:dyDescent="0.25">
      <c r="B28" s="59"/>
      <c r="C28" s="1508" t="s">
        <v>333</v>
      </c>
      <c r="D28" s="1481"/>
      <c r="E28" s="219" t="s">
        <v>195</v>
      </c>
      <c r="F28" s="230" t="s">
        <v>157</v>
      </c>
      <c r="G28" s="220" t="s">
        <v>623</v>
      </c>
      <c r="H28" s="69"/>
      <c r="I28" s="54"/>
      <c r="J28" s="1418"/>
      <c r="K28" s="1418"/>
      <c r="L28" s="307"/>
      <c r="N28" s="138"/>
      <c r="O28" s="138"/>
      <c r="P28" s="256"/>
      <c r="Q28" s="256"/>
      <c r="R28" s="256"/>
    </row>
    <row r="29" spans="2:21" ht="70.150000000000006" customHeight="1" x14ac:dyDescent="0.25">
      <c r="B29" s="59"/>
      <c r="C29" s="291" t="s">
        <v>352</v>
      </c>
      <c r="D29" s="292" t="s">
        <v>616</v>
      </c>
      <c r="E29" s="1105" t="s">
        <v>146</v>
      </c>
      <c r="F29" s="1105"/>
      <c r="G29" s="1239" t="s">
        <v>482</v>
      </c>
      <c r="H29" s="69"/>
      <c r="I29" s="54"/>
      <c r="J29" s="1387"/>
      <c r="K29" s="1387"/>
      <c r="L29" s="394"/>
      <c r="N29" s="138"/>
      <c r="O29" s="138"/>
      <c r="P29" s="256"/>
      <c r="Q29" s="256"/>
      <c r="R29" s="256"/>
    </row>
    <row r="30" spans="2:21" ht="46.9" customHeight="1" x14ac:dyDescent="0.25">
      <c r="B30" s="59"/>
      <c r="C30" s="310" t="s">
        <v>332</v>
      </c>
      <c r="D30" s="245"/>
      <c r="E30" s="219" t="s">
        <v>195</v>
      </c>
      <c r="F30" s="230" t="s">
        <v>157</v>
      </c>
      <c r="G30" s="220" t="s">
        <v>623</v>
      </c>
      <c r="H30" s="69"/>
      <c r="I30" s="54"/>
      <c r="J30" s="596"/>
      <c r="K30" s="596"/>
      <c r="L30" s="394"/>
      <c r="N30" s="138"/>
      <c r="O30" s="138"/>
      <c r="P30" s="256"/>
      <c r="Q30" s="256"/>
      <c r="R30" s="256"/>
    </row>
    <row r="31" spans="2:21" ht="70.150000000000006" customHeight="1" x14ac:dyDescent="0.25">
      <c r="B31" s="59"/>
      <c r="C31" s="291" t="s">
        <v>352</v>
      </c>
      <c r="D31" s="292" t="s">
        <v>616</v>
      </c>
      <c r="E31" s="1105" t="s">
        <v>146</v>
      </c>
      <c r="F31" s="1105"/>
      <c r="G31" s="1239" t="s">
        <v>482</v>
      </c>
      <c r="H31" s="69"/>
      <c r="I31" s="54"/>
      <c r="J31" s="596"/>
      <c r="K31" s="596"/>
      <c r="L31" s="394"/>
      <c r="N31" s="138"/>
      <c r="O31" s="138"/>
      <c r="P31" s="256"/>
      <c r="Q31" s="256"/>
      <c r="R31" s="256"/>
    </row>
    <row r="32" spans="2:21" ht="46.9" customHeight="1" x14ac:dyDescent="0.25">
      <c r="B32" s="59"/>
      <c r="C32" s="1508" t="s">
        <v>739</v>
      </c>
      <c r="D32" s="1509"/>
      <c r="E32" s="219" t="s">
        <v>195</v>
      </c>
      <c r="F32" s="219" t="s">
        <v>157</v>
      </c>
      <c r="G32" s="220" t="s">
        <v>623</v>
      </c>
      <c r="H32" s="69"/>
      <c r="M32" s="278"/>
    </row>
    <row r="33" spans="1:13" ht="70.150000000000006" customHeight="1" x14ac:dyDescent="0.25">
      <c r="B33" s="59"/>
      <c r="C33" s="293" t="s">
        <v>740</v>
      </c>
      <c r="D33" s="292" t="s">
        <v>616</v>
      </c>
      <c r="E33" s="339" t="s">
        <v>442</v>
      </c>
      <c r="F33" s="1105"/>
      <c r="G33" s="1239" t="s">
        <v>482</v>
      </c>
      <c r="H33" s="69"/>
      <c r="M33" s="278"/>
    </row>
    <row r="34" spans="1:13" ht="70.150000000000006" customHeight="1" x14ac:dyDescent="0.25">
      <c r="B34" s="59"/>
      <c r="C34" s="293" t="s">
        <v>779</v>
      </c>
      <c r="D34" s="292" t="s">
        <v>616</v>
      </c>
      <c r="E34" s="339" t="s">
        <v>442</v>
      </c>
      <c r="F34" s="1105"/>
      <c r="G34" s="1239" t="s">
        <v>482</v>
      </c>
      <c r="H34" s="69"/>
      <c r="M34" s="257"/>
    </row>
    <row r="35" spans="1:13" ht="19.899999999999999" customHeight="1" x14ac:dyDescent="0.25">
      <c r="B35" s="59"/>
      <c r="C35" s="87"/>
      <c r="D35" s="88"/>
      <c r="E35" s="88"/>
      <c r="F35" s="88"/>
      <c r="G35" s="88"/>
      <c r="H35" s="69"/>
      <c r="I35" s="54"/>
      <c r="M35" s="88"/>
    </row>
    <row r="36" spans="1:13" ht="24" customHeight="1" x14ac:dyDescent="0.25">
      <c r="B36" s="59"/>
      <c r="C36" s="116" t="s">
        <v>490</v>
      </c>
      <c r="D36" s="115"/>
      <c r="E36" s="115"/>
      <c r="F36" s="115"/>
      <c r="G36" s="115"/>
      <c r="H36" s="69"/>
      <c r="I36" s="54"/>
      <c r="J36" s="1504"/>
      <c r="K36" s="1504"/>
      <c r="L36" s="1505"/>
      <c r="M36" s="1505"/>
    </row>
    <row r="37" spans="1:13" ht="24" customHeight="1" x14ac:dyDescent="0.25">
      <c r="B37" s="59"/>
      <c r="C37" s="92"/>
      <c r="D37" s="92"/>
      <c r="E37" s="92"/>
      <c r="F37" s="92"/>
      <c r="G37" s="92"/>
      <c r="H37" s="69"/>
      <c r="I37" s="54"/>
      <c r="J37" s="1504"/>
      <c r="K37" s="1504"/>
      <c r="L37" s="1505"/>
      <c r="M37" s="1505"/>
    </row>
    <row r="38" spans="1:13" ht="24" customHeight="1" x14ac:dyDescent="0.25">
      <c r="B38" s="59"/>
      <c r="C38" s="1446" t="s">
        <v>634</v>
      </c>
      <c r="D38" s="1447"/>
      <c r="E38" s="1447"/>
      <c r="F38" s="1447"/>
      <c r="G38" s="1447"/>
      <c r="H38" s="69"/>
      <c r="I38" s="54"/>
      <c r="M38" s="1505"/>
    </row>
    <row r="39" spans="1:13" ht="19.899999999999999" customHeight="1" x14ac:dyDescent="0.25">
      <c r="B39" s="59"/>
      <c r="C39" s="1450" t="s">
        <v>621</v>
      </c>
      <c r="D39" s="1410" t="s">
        <v>1164</v>
      </c>
      <c r="E39" s="1410"/>
      <c r="F39" s="1410"/>
      <c r="G39" s="1410"/>
      <c r="H39" s="69"/>
      <c r="I39" s="54"/>
      <c r="M39" s="1505"/>
    </row>
    <row r="40" spans="1:13" ht="40.15" customHeight="1" x14ac:dyDescent="0.25">
      <c r="B40" s="59"/>
      <c r="C40" s="1469"/>
      <c r="D40" s="1437" t="s">
        <v>954</v>
      </c>
      <c r="E40" s="1438"/>
      <c r="F40" s="1438"/>
      <c r="G40" s="1439"/>
      <c r="H40" s="69"/>
      <c r="I40" s="54"/>
      <c r="M40" s="256"/>
    </row>
    <row r="41" spans="1:13" ht="59.45" customHeight="1" x14ac:dyDescent="0.25">
      <c r="B41" s="59"/>
      <c r="C41" s="1469"/>
      <c r="D41" s="1437" t="s">
        <v>899</v>
      </c>
      <c r="E41" s="1438"/>
      <c r="F41" s="1438"/>
      <c r="G41" s="1439"/>
      <c r="H41" s="69"/>
      <c r="I41" s="54"/>
      <c r="M41" s="256"/>
    </row>
    <row r="42" spans="1:13" ht="171.6" customHeight="1" x14ac:dyDescent="0.25">
      <c r="B42" s="59"/>
      <c r="C42" s="1469"/>
      <c r="D42" s="1437" t="s">
        <v>906</v>
      </c>
      <c r="E42" s="1438"/>
      <c r="F42" s="1438"/>
      <c r="G42" s="1439"/>
      <c r="H42" s="69"/>
      <c r="I42" s="54"/>
      <c r="M42" s="256"/>
    </row>
    <row r="43" spans="1:13" ht="19.899999999999999" customHeight="1" x14ac:dyDescent="0.25">
      <c r="B43" s="59"/>
      <c r="C43" s="1450" t="s">
        <v>620</v>
      </c>
      <c r="D43" s="1437" t="s">
        <v>715</v>
      </c>
      <c r="E43" s="1438"/>
      <c r="F43" s="1438"/>
      <c r="G43" s="1439"/>
      <c r="H43" s="69"/>
      <c r="I43" s="54"/>
      <c r="J43" s="55"/>
      <c r="K43" s="48"/>
    </row>
    <row r="44" spans="1:13" ht="19.899999999999999" customHeight="1" x14ac:dyDescent="0.25">
      <c r="B44" s="59"/>
      <c r="C44" s="1469"/>
      <c r="D44" s="1437" t="s">
        <v>714</v>
      </c>
      <c r="E44" s="1438"/>
      <c r="F44" s="1438"/>
      <c r="G44" s="1439"/>
      <c r="H44" s="69"/>
      <c r="I44" s="54"/>
      <c r="J44" s="55"/>
      <c r="K44" s="48"/>
    </row>
    <row r="45" spans="1:13" ht="19.899999999999999" customHeight="1" x14ac:dyDescent="0.25">
      <c r="B45" s="59"/>
      <c r="C45" s="1451"/>
      <c r="D45" s="570" t="s">
        <v>111</v>
      </c>
      <c r="E45" s="1452" t="s">
        <v>619</v>
      </c>
      <c r="F45" s="1452"/>
      <c r="G45" s="1453"/>
      <c r="H45" s="69"/>
      <c r="I45" s="54"/>
      <c r="J45" s="55"/>
      <c r="K45" s="48"/>
    </row>
    <row r="46" spans="1:13" ht="46.9" customHeight="1" x14ac:dyDescent="0.25">
      <c r="B46" s="59"/>
      <c r="C46" s="92"/>
      <c r="D46" s="92"/>
      <c r="E46" s="92"/>
      <c r="F46" s="92"/>
      <c r="G46" s="92"/>
      <c r="H46" s="69"/>
      <c r="I46" s="54"/>
      <c r="J46" s="55"/>
      <c r="K46" s="48"/>
    </row>
    <row r="47" spans="1:13" ht="46.9" customHeight="1" x14ac:dyDescent="0.25">
      <c r="B47" s="59"/>
      <c r="C47" s="571" t="s">
        <v>612</v>
      </c>
      <c r="D47" s="573" t="s">
        <v>3</v>
      </c>
      <c r="E47" s="572" t="s">
        <v>797</v>
      </c>
      <c r="F47" s="1444" t="s">
        <v>126</v>
      </c>
      <c r="G47" s="1445"/>
      <c r="H47" s="69"/>
      <c r="I47" s="54"/>
      <c r="J47" s="55"/>
      <c r="K47" s="48"/>
    </row>
    <row r="48" spans="1:13" ht="49.9" customHeight="1" x14ac:dyDescent="0.25">
      <c r="A48" s="50"/>
      <c r="B48" s="59"/>
      <c r="C48" s="1251" t="s">
        <v>1340</v>
      </c>
      <c r="D48" s="309" t="s">
        <v>119</v>
      </c>
      <c r="E48" s="1105"/>
      <c r="F48" s="1506" t="s">
        <v>160</v>
      </c>
      <c r="G48" s="1507"/>
      <c r="H48" s="69"/>
      <c r="I48" s="54"/>
      <c r="J48" s="55"/>
      <c r="K48" s="64"/>
    </row>
    <row r="49" spans="2:13" ht="46.9" customHeight="1" x14ac:dyDescent="0.25">
      <c r="B49" s="59"/>
      <c r="C49" s="575" t="s">
        <v>329</v>
      </c>
      <c r="D49" s="573" t="s">
        <v>3</v>
      </c>
      <c r="E49" s="572" t="s">
        <v>86</v>
      </c>
      <c r="F49" s="1444" t="s">
        <v>126</v>
      </c>
      <c r="G49" s="1445"/>
      <c r="H49" s="69"/>
      <c r="I49" s="54"/>
      <c r="J49" s="55"/>
      <c r="K49" s="64"/>
    </row>
    <row r="50" spans="2:13" ht="70.900000000000006" customHeight="1" x14ac:dyDescent="0.25">
      <c r="B50" s="59"/>
      <c r="C50" s="293" t="s">
        <v>898</v>
      </c>
      <c r="D50" s="292" t="s">
        <v>840</v>
      </c>
      <c r="E50" s="1105"/>
      <c r="F50" s="1408" t="s">
        <v>160</v>
      </c>
      <c r="G50" s="1409"/>
      <c r="H50" s="69"/>
      <c r="I50" s="54"/>
      <c r="J50" s="54"/>
      <c r="K50" s="54"/>
      <c r="L50" s="54"/>
      <c r="M50" s="50"/>
    </row>
    <row r="51" spans="2:13" ht="108" customHeight="1" x14ac:dyDescent="0.25">
      <c r="B51" s="59"/>
      <c r="C51" s="293" t="s">
        <v>903</v>
      </c>
      <c r="D51" s="595" t="s">
        <v>901</v>
      </c>
      <c r="E51" s="1107"/>
      <c r="F51" s="1408" t="s">
        <v>160</v>
      </c>
      <c r="G51" s="1409"/>
      <c r="H51" s="69"/>
      <c r="I51" s="54"/>
      <c r="J51" s="54"/>
      <c r="K51" s="54"/>
      <c r="L51" s="54"/>
    </row>
    <row r="52" spans="2:13" ht="46.9" customHeight="1" x14ac:dyDescent="0.25">
      <c r="B52" s="59"/>
      <c r="C52" s="575" t="s">
        <v>330</v>
      </c>
      <c r="D52" s="573" t="s">
        <v>3</v>
      </c>
      <c r="E52" s="572" t="s">
        <v>157</v>
      </c>
      <c r="F52" s="1444" t="s">
        <v>126</v>
      </c>
      <c r="G52" s="1445"/>
      <c r="H52" s="69"/>
      <c r="I52" s="54"/>
      <c r="J52" s="54"/>
      <c r="K52" s="54"/>
      <c r="L52" s="54"/>
    </row>
    <row r="53" spans="2:13" ht="70.900000000000006" customHeight="1" x14ac:dyDescent="0.25">
      <c r="B53" s="59"/>
      <c r="C53" s="293" t="s">
        <v>898</v>
      </c>
      <c r="D53" s="292" t="s">
        <v>487</v>
      </c>
      <c r="E53" s="1105"/>
      <c r="F53" s="1408" t="s">
        <v>160</v>
      </c>
      <c r="G53" s="1409"/>
      <c r="H53" s="69"/>
      <c r="I53" s="54"/>
      <c r="J53" s="54"/>
      <c r="K53" s="54"/>
      <c r="L53" s="54"/>
    </row>
    <row r="54" spans="2:13" ht="79.150000000000006" customHeight="1" x14ac:dyDescent="0.25">
      <c r="B54" s="59"/>
      <c r="C54" s="293" t="s">
        <v>903</v>
      </c>
      <c r="D54" s="595" t="s">
        <v>901</v>
      </c>
      <c r="E54" s="1107"/>
      <c r="F54" s="1408" t="s">
        <v>160</v>
      </c>
      <c r="G54" s="1409"/>
      <c r="H54" s="69"/>
      <c r="I54" s="54"/>
      <c r="J54" s="54"/>
      <c r="K54" s="54"/>
      <c r="L54" s="54"/>
    </row>
    <row r="55" spans="2:13" ht="46.9" customHeight="1" x14ac:dyDescent="0.25">
      <c r="B55" s="59"/>
      <c r="C55" s="310" t="s">
        <v>331</v>
      </c>
      <c r="D55" s="573" t="s">
        <v>3</v>
      </c>
      <c r="E55" s="572" t="s">
        <v>157</v>
      </c>
      <c r="F55" s="1444" t="s">
        <v>126</v>
      </c>
      <c r="G55" s="1445"/>
      <c r="H55" s="69"/>
      <c r="I55" s="54"/>
      <c r="J55" s="54"/>
      <c r="K55" s="54"/>
      <c r="L55" s="54"/>
    </row>
    <row r="56" spans="2:13" ht="70.150000000000006" customHeight="1" x14ac:dyDescent="0.25">
      <c r="B56" s="59"/>
      <c r="C56" s="293" t="s">
        <v>898</v>
      </c>
      <c r="D56" s="292" t="s">
        <v>487</v>
      </c>
      <c r="E56" s="1105"/>
      <c r="F56" s="1408" t="s">
        <v>160</v>
      </c>
      <c r="G56" s="1409"/>
      <c r="H56" s="69"/>
      <c r="I56" s="54"/>
      <c r="J56" s="54"/>
      <c r="K56" s="54"/>
      <c r="L56" s="54"/>
    </row>
    <row r="57" spans="2:13" ht="70.150000000000006" customHeight="1" x14ac:dyDescent="0.25">
      <c r="B57" s="59"/>
      <c r="C57" s="293" t="s">
        <v>903</v>
      </c>
      <c r="D57" s="595" t="s">
        <v>901</v>
      </c>
      <c r="E57" s="1107"/>
      <c r="F57" s="1408" t="s">
        <v>160</v>
      </c>
      <c r="G57" s="1409"/>
      <c r="H57" s="69"/>
      <c r="I57" s="54"/>
      <c r="J57" s="54"/>
      <c r="K57" s="54"/>
      <c r="L57" s="54"/>
    </row>
    <row r="58" spans="2:13" ht="46.9" customHeight="1" x14ac:dyDescent="0.25">
      <c r="B58" s="59"/>
      <c r="C58" s="310" t="s">
        <v>333</v>
      </c>
      <c r="D58" s="573" t="s">
        <v>3</v>
      </c>
      <c r="E58" s="572" t="s">
        <v>157</v>
      </c>
      <c r="F58" s="1444" t="s">
        <v>126</v>
      </c>
      <c r="G58" s="1445"/>
      <c r="H58" s="69"/>
      <c r="I58" s="54"/>
      <c r="J58" s="54"/>
      <c r="K58" s="54"/>
      <c r="L58" s="54"/>
    </row>
    <row r="59" spans="2:13" ht="70.150000000000006" customHeight="1" x14ac:dyDescent="0.25">
      <c r="B59" s="59"/>
      <c r="C59" s="293" t="s">
        <v>898</v>
      </c>
      <c r="D59" s="292" t="s">
        <v>487</v>
      </c>
      <c r="E59" s="1105"/>
      <c r="F59" s="1408" t="s">
        <v>160</v>
      </c>
      <c r="G59" s="1409"/>
      <c r="H59" s="69"/>
      <c r="I59" s="54"/>
      <c r="J59" s="54"/>
      <c r="K59" s="54"/>
      <c r="L59" s="54"/>
    </row>
    <row r="60" spans="2:13" ht="70.150000000000006" customHeight="1" x14ac:dyDescent="0.25">
      <c r="B60" s="59"/>
      <c r="C60" s="293" t="s">
        <v>903</v>
      </c>
      <c r="D60" s="595" t="s">
        <v>901</v>
      </c>
      <c r="E60" s="1107"/>
      <c r="F60" s="1408" t="s">
        <v>160</v>
      </c>
      <c r="G60" s="1409"/>
      <c r="H60" s="69"/>
      <c r="I60" s="54"/>
      <c r="J60" s="54"/>
      <c r="K60" s="54"/>
      <c r="L60" s="54"/>
    </row>
    <row r="61" spans="2:13" ht="46.9" customHeight="1" x14ac:dyDescent="0.25">
      <c r="B61" s="59"/>
      <c r="C61" s="310" t="s">
        <v>332</v>
      </c>
      <c r="D61" s="484"/>
      <c r="E61" s="572" t="s">
        <v>157</v>
      </c>
      <c r="F61" s="1444" t="s">
        <v>126</v>
      </c>
      <c r="G61" s="1445"/>
      <c r="H61" s="69"/>
      <c r="I61" s="54"/>
      <c r="J61" s="54"/>
      <c r="K61" s="54"/>
      <c r="L61" s="54"/>
    </row>
    <row r="62" spans="2:13" ht="70.150000000000006" customHeight="1" x14ac:dyDescent="0.25">
      <c r="B62" s="59"/>
      <c r="C62" s="293" t="s">
        <v>898</v>
      </c>
      <c r="D62" s="292" t="s">
        <v>487</v>
      </c>
      <c r="E62" s="1105"/>
      <c r="F62" s="1408" t="s">
        <v>160</v>
      </c>
      <c r="G62" s="1409"/>
      <c r="H62" s="69"/>
      <c r="I62" s="54"/>
      <c r="J62" s="54"/>
      <c r="K62" s="54"/>
      <c r="L62" s="54"/>
    </row>
    <row r="63" spans="2:13" ht="70.150000000000006" customHeight="1" x14ac:dyDescent="0.25">
      <c r="B63" s="59"/>
      <c r="C63" s="293" t="s">
        <v>905</v>
      </c>
      <c r="D63" s="595" t="s">
        <v>902</v>
      </c>
      <c r="E63" s="1107"/>
      <c r="F63" s="1408" t="s">
        <v>160</v>
      </c>
      <c r="G63" s="1409"/>
      <c r="H63" s="69"/>
      <c r="I63" s="54"/>
      <c r="J63" s="54"/>
      <c r="K63" s="54"/>
      <c r="L63" s="54"/>
    </row>
    <row r="64" spans="2:13" ht="46.9" customHeight="1" x14ac:dyDescent="0.25">
      <c r="B64" s="59"/>
      <c r="C64" s="310" t="s">
        <v>739</v>
      </c>
      <c r="D64" s="484"/>
      <c r="E64" s="572" t="s">
        <v>157</v>
      </c>
      <c r="F64" s="1444" t="s">
        <v>126</v>
      </c>
      <c r="G64" s="1445"/>
      <c r="H64" s="69"/>
      <c r="I64" s="54"/>
      <c r="J64" s="54"/>
      <c r="K64" s="54"/>
      <c r="L64" s="54"/>
    </row>
    <row r="65" spans="2:13" ht="70.150000000000006" customHeight="1" x14ac:dyDescent="0.25">
      <c r="B65" s="59"/>
      <c r="C65" s="293" t="s">
        <v>898</v>
      </c>
      <c r="D65" s="292" t="s">
        <v>487</v>
      </c>
      <c r="E65" s="1105"/>
      <c r="F65" s="1408" t="s">
        <v>160</v>
      </c>
      <c r="G65" s="1409"/>
      <c r="H65" s="69"/>
      <c r="I65" s="54"/>
      <c r="J65" s="54"/>
      <c r="K65" s="54"/>
      <c r="L65" s="54"/>
    </row>
    <row r="66" spans="2:13" ht="70.150000000000006" customHeight="1" x14ac:dyDescent="0.25">
      <c r="B66" s="59"/>
      <c r="C66" s="293" t="s">
        <v>897</v>
      </c>
      <c r="D66" s="636" t="s">
        <v>904</v>
      </c>
      <c r="E66" s="1107"/>
      <c r="F66" s="1408" t="s">
        <v>160</v>
      </c>
      <c r="G66" s="1409"/>
      <c r="H66" s="69"/>
      <c r="I66" s="54"/>
      <c r="J66" s="54"/>
      <c r="K66" s="54"/>
      <c r="L66" s="54"/>
    </row>
    <row r="67" spans="2:13" ht="15" customHeight="1" x14ac:dyDescent="0.25">
      <c r="B67" s="61"/>
      <c r="C67" s="75"/>
      <c r="D67" s="76"/>
      <c r="E67" s="76"/>
      <c r="F67" s="76"/>
      <c r="G67" s="76"/>
      <c r="H67" s="70"/>
      <c r="I67" s="54"/>
      <c r="J67" s="54"/>
      <c r="K67" s="54"/>
      <c r="L67" s="54"/>
    </row>
    <row r="68" spans="2:13" ht="46.9" customHeight="1" x14ac:dyDescent="0.25">
      <c r="C68" s="64"/>
      <c r="D68" s="54"/>
      <c r="E68" s="54"/>
      <c r="F68" s="54"/>
      <c r="G68" s="54"/>
      <c r="H68" s="54"/>
      <c r="I68" s="54"/>
      <c r="J68" s="54"/>
      <c r="K68" s="54"/>
      <c r="L68" s="54"/>
    </row>
    <row r="70" spans="2:13" ht="46.9" customHeight="1" x14ac:dyDescent="0.25">
      <c r="B70" s="66"/>
      <c r="C70" s="66" t="s">
        <v>492</v>
      </c>
      <c r="D70" s="57"/>
      <c r="E70" s="57"/>
      <c r="F70" s="57"/>
      <c r="G70" s="57"/>
      <c r="H70" s="58"/>
      <c r="I70" s="56"/>
      <c r="J70" s="56"/>
    </row>
    <row r="71" spans="2:13" ht="24" customHeight="1" x14ac:dyDescent="0.25">
      <c r="B71" s="59"/>
      <c r="H71" s="60"/>
      <c r="I71" s="65"/>
      <c r="J71" s="65"/>
    </row>
    <row r="72" spans="2:13" ht="24" customHeight="1" x14ac:dyDescent="0.25">
      <c r="B72" s="59"/>
      <c r="C72" s="1411" t="s">
        <v>493</v>
      </c>
      <c r="D72" s="1407"/>
      <c r="E72" s="1407"/>
      <c r="F72" s="1407"/>
      <c r="G72" s="115"/>
      <c r="H72" s="60"/>
      <c r="I72" s="65"/>
      <c r="J72" s="65"/>
    </row>
    <row r="73" spans="2:13" ht="24" customHeight="1" x14ac:dyDescent="0.25">
      <c r="B73" s="59"/>
      <c r="C73" s="92"/>
      <c r="D73" s="92"/>
      <c r="E73" s="92"/>
      <c r="F73" s="92"/>
      <c r="G73" s="92"/>
      <c r="H73" s="60"/>
      <c r="I73" s="65"/>
      <c r="J73" s="65"/>
    </row>
    <row r="74" spans="2:13" ht="24" customHeight="1" x14ac:dyDescent="0.25">
      <c r="B74" s="59"/>
      <c r="C74" s="1510" t="s">
        <v>634</v>
      </c>
      <c r="D74" s="1511"/>
      <c r="E74" s="1511"/>
      <c r="F74" s="1511"/>
      <c r="G74" s="1512"/>
      <c r="H74" s="60"/>
      <c r="I74" s="65"/>
      <c r="J74" s="65"/>
    </row>
    <row r="75" spans="2:13" ht="42" customHeight="1" x14ac:dyDescent="0.25">
      <c r="B75" s="59"/>
      <c r="C75" s="703" t="s">
        <v>641</v>
      </c>
      <c r="D75" s="1410" t="s">
        <v>1218</v>
      </c>
      <c r="E75" s="1410"/>
      <c r="F75" s="1410"/>
      <c r="G75" s="1410"/>
      <c r="H75" s="60"/>
      <c r="I75" s="65"/>
      <c r="J75" s="65"/>
    </row>
    <row r="76" spans="2:13" ht="27.6" customHeight="1" x14ac:dyDescent="0.25">
      <c r="B76" s="59"/>
      <c r="C76" s="703" t="s">
        <v>676</v>
      </c>
      <c r="D76" s="1410" t="s">
        <v>1229</v>
      </c>
      <c r="E76" s="1410"/>
      <c r="F76" s="1410"/>
      <c r="G76" s="1410"/>
      <c r="H76" s="60"/>
      <c r="I76" s="65"/>
      <c r="J76" s="65"/>
    </row>
    <row r="77" spans="2:13" ht="58.9" customHeight="1" x14ac:dyDescent="0.25">
      <c r="B77" s="59"/>
      <c r="C77" s="704" t="s">
        <v>642</v>
      </c>
      <c r="D77" s="1410" t="s">
        <v>1165</v>
      </c>
      <c r="E77" s="1410"/>
      <c r="F77" s="1410"/>
      <c r="G77" s="1410"/>
      <c r="H77" s="60"/>
      <c r="I77" s="65"/>
      <c r="J77" s="65"/>
    </row>
    <row r="78" spans="2:13" ht="19.899999999999999" customHeight="1" x14ac:dyDescent="0.25">
      <c r="B78" s="59"/>
      <c r="C78" s="1480"/>
      <c r="D78" s="1480"/>
      <c r="E78" s="1480"/>
      <c r="F78" s="1480"/>
      <c r="G78" s="95"/>
      <c r="H78" s="68"/>
      <c r="I78" s="53"/>
      <c r="J78" s="96"/>
      <c r="K78" s="96"/>
      <c r="L78" s="96"/>
      <c r="M78" s="96"/>
    </row>
    <row r="79" spans="2:13" ht="46.9" customHeight="1" x14ac:dyDescent="0.3">
      <c r="B79" s="59"/>
      <c r="C79" s="575" t="s">
        <v>329</v>
      </c>
      <c r="D79" s="574" t="s">
        <v>3</v>
      </c>
      <c r="E79" s="574" t="s">
        <v>751</v>
      </c>
      <c r="F79" s="1489" t="s">
        <v>640</v>
      </c>
      <c r="G79" s="1490"/>
      <c r="H79" s="68"/>
      <c r="I79" s="53"/>
      <c r="J79" s="94"/>
      <c r="K79" s="93"/>
    </row>
    <row r="80" spans="2:13" ht="45" customHeight="1" x14ac:dyDescent="0.3">
      <c r="B80" s="59"/>
      <c r="C80" s="575"/>
      <c r="D80" s="580"/>
      <c r="E80" s="580" t="str">
        <f>IFERROR(IF(SUM(E81:E85)=0, "",IF(SUM(E81:E85)&gt;100, "A soma da % captação é superior a 100%. Por favor, reveja.", IF(SUM(E81:E85)&lt;100, "A soma da % captação é inferior a 100%. Por favor, reveja.", ""))),"")</f>
        <v/>
      </c>
      <c r="F80" s="509" t="str">
        <f>IFERROR(IF(SUM(F81:F85)=0, "",IF(SUM(F81:F85)&gt;100, "  A soma das TM é superior a 100%. Por favor, reveja.", IF(SUM(F81:F85)&lt;100, " A soma das TM é inferior a 100%. Por favor, reveja.", ""))),"")</f>
        <v/>
      </c>
      <c r="G80" s="220"/>
      <c r="H80" s="68"/>
      <c r="I80" s="53"/>
      <c r="J80" s="94"/>
      <c r="K80" s="93"/>
    </row>
    <row r="81" spans="2:11" ht="60" customHeight="1" x14ac:dyDescent="0.25">
      <c r="B81" s="59"/>
      <c r="C81" s="293" t="s">
        <v>409</v>
      </c>
      <c r="D81" s="292" t="s">
        <v>77</v>
      </c>
      <c r="E81" s="1110"/>
      <c r="F81" s="1408" t="s">
        <v>160</v>
      </c>
      <c r="G81" s="1409"/>
      <c r="H81" s="69"/>
      <c r="I81" s="54"/>
      <c r="K81" s="90"/>
    </row>
    <row r="82" spans="2:11" ht="60" customHeight="1" x14ac:dyDescent="0.25">
      <c r="B82" s="59"/>
      <c r="C82" s="293" t="s">
        <v>747</v>
      </c>
      <c r="D82" s="292" t="s">
        <v>77</v>
      </c>
      <c r="E82" s="1110"/>
      <c r="F82" s="1408" t="s">
        <v>160</v>
      </c>
      <c r="G82" s="1409"/>
      <c r="H82" s="69"/>
      <c r="I82" s="54"/>
      <c r="K82" s="90"/>
    </row>
    <row r="83" spans="2:11" ht="60" customHeight="1" x14ac:dyDescent="0.25">
      <c r="B83" s="59"/>
      <c r="C83" s="293" t="s">
        <v>748</v>
      </c>
      <c r="D83" s="292" t="s">
        <v>77</v>
      </c>
      <c r="E83" s="1110"/>
      <c r="F83" s="1408" t="s">
        <v>160</v>
      </c>
      <c r="G83" s="1409"/>
      <c r="H83" s="69"/>
      <c r="I83" s="54"/>
      <c r="J83" s="90"/>
      <c r="K83" s="90"/>
    </row>
    <row r="84" spans="2:11" ht="60" customHeight="1" x14ac:dyDescent="0.25">
      <c r="B84" s="59"/>
      <c r="C84" s="293" t="s">
        <v>767</v>
      </c>
      <c r="D84" s="292" t="s">
        <v>77</v>
      </c>
      <c r="E84" s="1110"/>
      <c r="F84" s="1408" t="s">
        <v>160</v>
      </c>
      <c r="G84" s="1409"/>
      <c r="H84" s="69"/>
      <c r="I84" s="54"/>
      <c r="J84" s="90"/>
      <c r="K84" s="90"/>
    </row>
    <row r="85" spans="2:11" ht="60" customHeight="1" x14ac:dyDescent="0.25">
      <c r="B85" s="59"/>
      <c r="C85" s="293" t="s">
        <v>749</v>
      </c>
      <c r="D85" s="292" t="s">
        <v>77</v>
      </c>
      <c r="E85" s="1110"/>
      <c r="F85" s="1408" t="s">
        <v>160</v>
      </c>
      <c r="G85" s="1409"/>
      <c r="H85" s="69"/>
      <c r="I85" s="54"/>
      <c r="J85" s="90"/>
      <c r="K85" s="90"/>
    </row>
    <row r="86" spans="2:11" ht="46.9" customHeight="1" x14ac:dyDescent="0.25">
      <c r="B86" s="59"/>
      <c r="C86" s="575" t="s">
        <v>330</v>
      </c>
      <c r="D86" s="574" t="s">
        <v>3</v>
      </c>
      <c r="E86" s="574" t="s">
        <v>751</v>
      </c>
      <c r="F86" s="1489" t="s">
        <v>640</v>
      </c>
      <c r="G86" s="1490"/>
      <c r="H86" s="69"/>
      <c r="I86" s="54"/>
      <c r="J86" s="90"/>
      <c r="K86" s="90"/>
    </row>
    <row r="87" spans="2:11" ht="45" customHeight="1" x14ac:dyDescent="0.25">
      <c r="B87" s="59"/>
      <c r="C87" s="575"/>
      <c r="D87" s="580"/>
      <c r="E87" s="580" t="str">
        <f>IFERROR(IF(SUM(E88:E92)=0, "",IF(SUM(E88:E92)&gt;100, "A soma da % captação é superior a 100%. Por favor, reveja.", IF(SUM(E88:E92)&lt;100, "A soma da % captação é inferior a 100%. Por favor, reveja.", ""))),"")</f>
        <v/>
      </c>
      <c r="F87" s="509" t="str">
        <f>IFERROR(IF(SUM(F88:F92)=0, "",IF(SUM(F88:F92)&gt;100, "  A soma das TM é superior a 100%. Por favor, reveja.", IF(SUM(F88:F92)&lt;100, " A soma das TM é inferior a 100%. Por favor, reveja.", ""))),"")</f>
        <v/>
      </c>
      <c r="G87" s="136"/>
      <c r="H87" s="69"/>
      <c r="I87" s="54"/>
      <c r="J87" s="90"/>
      <c r="K87" s="90"/>
    </row>
    <row r="88" spans="2:11" ht="60" customHeight="1" x14ac:dyDescent="0.25">
      <c r="B88" s="59"/>
      <c r="C88" s="293" t="s">
        <v>410</v>
      </c>
      <c r="D88" s="292" t="s">
        <v>77</v>
      </c>
      <c r="E88" s="1110"/>
      <c r="F88" s="1408" t="s">
        <v>160</v>
      </c>
      <c r="G88" s="1409"/>
      <c r="H88" s="69"/>
      <c r="I88" s="54"/>
      <c r="J88" s="90"/>
      <c r="K88" s="90"/>
    </row>
    <row r="89" spans="2:11" ht="60" customHeight="1" x14ac:dyDescent="0.25">
      <c r="B89" s="59"/>
      <c r="C89" s="293" t="s">
        <v>411</v>
      </c>
      <c r="D89" s="292" t="s">
        <v>77</v>
      </c>
      <c r="E89" s="1110"/>
      <c r="F89" s="1408" t="s">
        <v>160</v>
      </c>
      <c r="G89" s="1409"/>
      <c r="H89" s="69"/>
      <c r="I89" s="54"/>
      <c r="J89" s="90"/>
      <c r="K89" s="90"/>
    </row>
    <row r="90" spans="2:11" ht="60" customHeight="1" x14ac:dyDescent="0.25">
      <c r="B90" s="59"/>
      <c r="C90" s="293" t="s">
        <v>1166</v>
      </c>
      <c r="D90" s="292" t="s">
        <v>77</v>
      </c>
      <c r="E90" s="1110"/>
      <c r="F90" s="1408" t="s">
        <v>160</v>
      </c>
      <c r="G90" s="1409"/>
      <c r="H90" s="69"/>
      <c r="I90" s="54"/>
      <c r="J90" s="90"/>
      <c r="K90" s="90"/>
    </row>
    <row r="91" spans="2:11" ht="60" customHeight="1" x14ac:dyDescent="0.25">
      <c r="B91" s="59"/>
      <c r="C91" s="293" t="s">
        <v>768</v>
      </c>
      <c r="D91" s="292" t="s">
        <v>77</v>
      </c>
      <c r="E91" s="1110"/>
      <c r="F91" s="1408" t="s">
        <v>160</v>
      </c>
      <c r="G91" s="1409"/>
      <c r="H91" s="69"/>
      <c r="I91" s="54"/>
      <c r="J91" s="90"/>
      <c r="K91" s="90"/>
    </row>
    <row r="92" spans="2:11" ht="60" customHeight="1" x14ac:dyDescent="0.25">
      <c r="B92" s="59"/>
      <c r="C92" s="293" t="s">
        <v>731</v>
      </c>
      <c r="D92" s="292" t="s">
        <v>77</v>
      </c>
      <c r="E92" s="1110"/>
      <c r="F92" s="1408" t="s">
        <v>160</v>
      </c>
      <c r="G92" s="1409"/>
      <c r="H92" s="69"/>
      <c r="I92" s="54"/>
      <c r="J92" s="90"/>
      <c r="K92" s="90"/>
    </row>
    <row r="93" spans="2:11" ht="46.9" customHeight="1" x14ac:dyDescent="0.25">
      <c r="B93" s="59"/>
      <c r="C93" s="484" t="s">
        <v>331</v>
      </c>
      <c r="D93" s="574" t="s">
        <v>3</v>
      </c>
      <c r="E93" s="574" t="s">
        <v>751</v>
      </c>
      <c r="F93" s="1489" t="s">
        <v>640</v>
      </c>
      <c r="G93" s="1490"/>
      <c r="H93" s="69"/>
      <c r="I93" s="54"/>
      <c r="J93" s="90"/>
      <c r="K93" s="90"/>
    </row>
    <row r="94" spans="2:11" ht="45" customHeight="1" x14ac:dyDescent="0.25">
      <c r="B94" s="59"/>
      <c r="C94" s="484"/>
      <c r="D94" s="580"/>
      <c r="E94" s="580" t="str">
        <f>IFERROR(IF(SUM(E95:E99)=0, "",IF(SUM(E95:E99)&gt;100, "A soma da % captação é superior a 100%. Por favor, reveja.", IF(SUM(E95:E99)&lt;100, "A soma da % captação é inferior a 100%. Por favor, reveja.", ""))),"")</f>
        <v/>
      </c>
      <c r="F94" s="509" t="str">
        <f>IFERROR(IF(SUM(F95:F99)=0, "",IF(SUM(F95:F99)&gt;100, "  A soma das TM é superior a 100%. Por favor, reveja.", IF(SUM(F95:F99)&lt;100, " A soma das TM é inferior a 100%. Por favor, reveja.", ""))),"")</f>
        <v/>
      </c>
      <c r="G94" s="136"/>
      <c r="H94" s="69"/>
      <c r="I94" s="54"/>
      <c r="J94" s="90"/>
      <c r="K94" s="90"/>
    </row>
    <row r="95" spans="2:11" ht="60" customHeight="1" x14ac:dyDescent="0.25">
      <c r="B95" s="59"/>
      <c r="C95" s="293" t="s">
        <v>412</v>
      </c>
      <c r="D95" s="292" t="s">
        <v>77</v>
      </c>
      <c r="E95" s="1110"/>
      <c r="F95" s="1408" t="s">
        <v>160</v>
      </c>
      <c r="G95" s="1409"/>
      <c r="H95" s="69"/>
      <c r="I95" s="54"/>
      <c r="J95" s="90"/>
      <c r="K95" s="90"/>
    </row>
    <row r="96" spans="2:11" ht="60" customHeight="1" x14ac:dyDescent="0.25">
      <c r="B96" s="59"/>
      <c r="C96" s="293" t="s">
        <v>413</v>
      </c>
      <c r="D96" s="292" t="s">
        <v>77</v>
      </c>
      <c r="E96" s="1110"/>
      <c r="F96" s="1408" t="s">
        <v>160</v>
      </c>
      <c r="G96" s="1409"/>
      <c r="H96" s="69"/>
      <c r="I96" s="54"/>
      <c r="J96" s="90"/>
      <c r="K96" s="90"/>
    </row>
    <row r="97" spans="2:11" ht="60" customHeight="1" x14ac:dyDescent="0.25">
      <c r="B97" s="59"/>
      <c r="C97" s="293" t="s">
        <v>1167</v>
      </c>
      <c r="D97" s="292" t="s">
        <v>77</v>
      </c>
      <c r="E97" s="1110"/>
      <c r="F97" s="1408" t="s">
        <v>160</v>
      </c>
      <c r="G97" s="1409"/>
      <c r="H97" s="69"/>
      <c r="I97" s="54"/>
      <c r="J97" s="90"/>
      <c r="K97" s="90"/>
    </row>
    <row r="98" spans="2:11" ht="60" customHeight="1" x14ac:dyDescent="0.25">
      <c r="B98" s="59"/>
      <c r="C98" s="293" t="s">
        <v>1168</v>
      </c>
      <c r="D98" s="292" t="s">
        <v>77</v>
      </c>
      <c r="E98" s="1110"/>
      <c r="F98" s="1408" t="s">
        <v>160</v>
      </c>
      <c r="G98" s="1409"/>
      <c r="H98" s="69"/>
      <c r="I98" s="54"/>
      <c r="J98" s="90"/>
      <c r="K98" s="90"/>
    </row>
    <row r="99" spans="2:11" ht="60" customHeight="1" x14ac:dyDescent="0.25">
      <c r="B99" s="59"/>
      <c r="C99" s="293" t="s">
        <v>732</v>
      </c>
      <c r="D99" s="292" t="s">
        <v>77</v>
      </c>
      <c r="E99" s="1110"/>
      <c r="F99" s="1408" t="s">
        <v>160</v>
      </c>
      <c r="G99" s="1409"/>
      <c r="H99" s="69"/>
      <c r="I99" s="54"/>
      <c r="J99" s="90"/>
      <c r="K99" s="90"/>
    </row>
    <row r="100" spans="2:11" ht="46.9" customHeight="1" x14ac:dyDescent="0.25">
      <c r="B100" s="59"/>
      <c r="C100" s="484" t="s">
        <v>333</v>
      </c>
      <c r="D100" s="574" t="s">
        <v>3</v>
      </c>
      <c r="E100" s="1111" t="s">
        <v>751</v>
      </c>
      <c r="F100" s="1513" t="s">
        <v>640</v>
      </c>
      <c r="G100" s="1514"/>
      <c r="H100" s="69"/>
      <c r="I100" s="54"/>
      <c r="J100" s="90"/>
      <c r="K100" s="90"/>
    </row>
    <row r="101" spans="2:11" ht="45" customHeight="1" x14ac:dyDescent="0.25">
      <c r="B101" s="59"/>
      <c r="C101" s="484"/>
      <c r="D101" s="580"/>
      <c r="E101" s="580" t="str">
        <f>IFERROR(IF(SUM(E102:E106)=0, "",IF(SUM(E102:E106)&gt;100, "A soma da % captação é superior a 100%. Por favor, reveja.", IF(SUM(E102:E106)&lt;100, "A soma da % captação é inferior a 100%. Por favor, reveja.", ""))),"")</f>
        <v/>
      </c>
      <c r="F101" s="509" t="str">
        <f>IFERROR(IF(SUM(F102:F106)=0, "",IF(SUM(F102:F106)&gt;100, "  A soma das TM é superior a 100%. Por favor, reveja.", IF(SUM(F102:F106)&lt;100, " A soma das TM é inferior a 100%. Por favor, reveja.", ""))),"")</f>
        <v/>
      </c>
      <c r="G101" s="1112"/>
      <c r="H101" s="69"/>
      <c r="I101" s="54"/>
      <c r="J101" s="90"/>
      <c r="K101" s="90"/>
    </row>
    <row r="102" spans="2:11" ht="60" customHeight="1" x14ac:dyDescent="0.25">
      <c r="B102" s="59"/>
      <c r="C102" s="293" t="s">
        <v>733</v>
      </c>
      <c r="D102" s="292" t="s">
        <v>77</v>
      </c>
      <c r="E102" s="1110"/>
      <c r="F102" s="1408" t="s">
        <v>160</v>
      </c>
      <c r="G102" s="1409"/>
      <c r="H102" s="69"/>
      <c r="I102" s="54"/>
      <c r="J102" s="55"/>
      <c r="K102" s="48"/>
    </row>
    <row r="103" spans="2:11" ht="60" customHeight="1" x14ac:dyDescent="0.25">
      <c r="B103" s="59"/>
      <c r="C103" s="293" t="s">
        <v>734</v>
      </c>
      <c r="D103" s="292" t="s">
        <v>77</v>
      </c>
      <c r="E103" s="1110"/>
      <c r="F103" s="1408" t="s">
        <v>160</v>
      </c>
      <c r="G103" s="1409"/>
      <c r="H103" s="69"/>
      <c r="I103" s="54"/>
      <c r="J103" s="55"/>
      <c r="K103" s="48"/>
    </row>
    <row r="104" spans="2:11" ht="60" customHeight="1" x14ac:dyDescent="0.25">
      <c r="B104" s="59"/>
      <c r="C104" s="293" t="s">
        <v>1169</v>
      </c>
      <c r="D104" s="292" t="s">
        <v>77</v>
      </c>
      <c r="E104" s="1110"/>
      <c r="F104" s="1408" t="s">
        <v>160</v>
      </c>
      <c r="G104" s="1409"/>
      <c r="H104" s="69"/>
      <c r="I104" s="54"/>
      <c r="J104" s="55"/>
      <c r="K104" s="48"/>
    </row>
    <row r="105" spans="2:11" ht="60" customHeight="1" x14ac:dyDescent="0.25">
      <c r="B105" s="59"/>
      <c r="C105" s="293" t="s">
        <v>769</v>
      </c>
      <c r="D105" s="292" t="s">
        <v>77</v>
      </c>
      <c r="E105" s="1110"/>
      <c r="F105" s="1408" t="s">
        <v>160</v>
      </c>
      <c r="G105" s="1409"/>
      <c r="H105" s="69"/>
      <c r="I105" s="54"/>
      <c r="J105" s="55"/>
      <c r="K105" s="48"/>
    </row>
    <row r="106" spans="2:11" ht="60" customHeight="1" x14ac:dyDescent="0.25">
      <c r="B106" s="59"/>
      <c r="C106" s="293" t="s">
        <v>735</v>
      </c>
      <c r="D106" s="292" t="s">
        <v>77</v>
      </c>
      <c r="E106" s="1110"/>
      <c r="F106" s="1408" t="s">
        <v>160</v>
      </c>
      <c r="G106" s="1409"/>
      <c r="H106" s="69"/>
      <c r="I106" s="54"/>
      <c r="J106" s="55"/>
      <c r="K106" s="48"/>
    </row>
    <row r="107" spans="2:11" ht="46.9" customHeight="1" x14ac:dyDescent="0.25">
      <c r="B107" s="59"/>
      <c r="C107" s="484" t="s">
        <v>332</v>
      </c>
      <c r="D107" s="574" t="s">
        <v>3</v>
      </c>
      <c r="E107" s="574" t="s">
        <v>751</v>
      </c>
      <c r="F107" s="1489" t="s">
        <v>640</v>
      </c>
      <c r="G107" s="1490"/>
      <c r="H107" s="69"/>
      <c r="I107" s="54"/>
      <c r="J107" s="55"/>
      <c r="K107" s="48"/>
    </row>
    <row r="108" spans="2:11" ht="45" customHeight="1" x14ac:dyDescent="0.25">
      <c r="B108" s="59"/>
      <c r="C108" s="484"/>
      <c r="D108" s="580"/>
      <c r="E108" s="580" t="str">
        <f>IFERROR(IF(SUM(E109:E113)=0, "",IF(SUM(E109:E113)&gt;100, "A soma da % captação é superior a 100%. Por favor, reveja.", IF(SUM(E109:E113)&lt;100, "A soma da % captação é inferior a 100%. Por favor, reveja.", ""))),"")</f>
        <v/>
      </c>
      <c r="F108" s="509" t="str">
        <f>IFERROR(IF(SUM(F109:F113)=0, "",IF(SUM(F109:F113)&gt;100, "  A soma das TM é superior a 100%. Por favor, reveja.", IF(SUM(F109:F113)&lt;100, " A soma das TM é inferior a 100%. Por favor, reveja.", ""))),"")</f>
        <v/>
      </c>
      <c r="G108" s="136"/>
      <c r="H108" s="69"/>
      <c r="I108" s="54"/>
      <c r="J108" s="55"/>
      <c r="K108" s="48"/>
    </row>
    <row r="109" spans="2:11" ht="60" customHeight="1" x14ac:dyDescent="0.25">
      <c r="B109" s="59"/>
      <c r="C109" s="293" t="s">
        <v>414</v>
      </c>
      <c r="D109" s="292" t="s">
        <v>77</v>
      </c>
      <c r="E109" s="1110"/>
      <c r="F109" s="1408" t="s">
        <v>160</v>
      </c>
      <c r="G109" s="1409"/>
      <c r="H109" s="69"/>
      <c r="I109" s="54"/>
      <c r="J109" s="55"/>
      <c r="K109" s="48"/>
    </row>
    <row r="110" spans="2:11" ht="60" customHeight="1" x14ac:dyDescent="0.25">
      <c r="B110" s="59"/>
      <c r="C110" s="293" t="s">
        <v>416</v>
      </c>
      <c r="D110" s="292" t="s">
        <v>77</v>
      </c>
      <c r="E110" s="1110"/>
      <c r="F110" s="1408" t="s">
        <v>160</v>
      </c>
      <c r="G110" s="1409"/>
      <c r="H110" s="69"/>
      <c r="I110" s="54"/>
      <c r="J110" s="55"/>
      <c r="K110" s="48"/>
    </row>
    <row r="111" spans="2:11" ht="60" customHeight="1" x14ac:dyDescent="0.25">
      <c r="B111" s="59"/>
      <c r="C111" s="293" t="s">
        <v>415</v>
      </c>
      <c r="D111" s="292" t="s">
        <v>77</v>
      </c>
      <c r="E111" s="1110"/>
      <c r="F111" s="1408" t="s">
        <v>160</v>
      </c>
      <c r="G111" s="1409"/>
      <c r="H111" s="69"/>
      <c r="I111" s="54"/>
      <c r="J111" s="55"/>
      <c r="K111" s="48"/>
    </row>
    <row r="112" spans="2:11" ht="60" customHeight="1" x14ac:dyDescent="0.25">
      <c r="B112" s="59"/>
      <c r="C112" s="293" t="s">
        <v>750</v>
      </c>
      <c r="D112" s="292" t="s">
        <v>77</v>
      </c>
      <c r="E112" s="1110"/>
      <c r="F112" s="1408" t="s">
        <v>160</v>
      </c>
      <c r="G112" s="1409"/>
      <c r="H112" s="69"/>
      <c r="I112" s="54"/>
      <c r="J112" s="55"/>
      <c r="K112" s="48"/>
    </row>
    <row r="113" spans="2:19" ht="60" customHeight="1" x14ac:dyDescent="0.25">
      <c r="B113" s="59"/>
      <c r="C113" s="293" t="s">
        <v>736</v>
      </c>
      <c r="D113" s="292" t="s">
        <v>77</v>
      </c>
      <c r="E113" s="1110"/>
      <c r="F113" s="1408" t="s">
        <v>160</v>
      </c>
      <c r="G113" s="1409"/>
      <c r="H113" s="69"/>
      <c r="I113" s="54"/>
      <c r="J113" s="55"/>
      <c r="K113" s="48"/>
    </row>
    <row r="114" spans="2:19" ht="46.9" customHeight="1" x14ac:dyDescent="0.25">
      <c r="B114" s="59"/>
      <c r="C114" s="484" t="s">
        <v>739</v>
      </c>
      <c r="D114" s="574" t="s">
        <v>3</v>
      </c>
      <c r="E114" s="574" t="s">
        <v>751</v>
      </c>
      <c r="F114" s="1489" t="s">
        <v>640</v>
      </c>
      <c r="G114" s="1490"/>
      <c r="H114" s="69"/>
      <c r="I114" s="54"/>
      <c r="J114" s="55"/>
      <c r="K114" s="48"/>
    </row>
    <row r="115" spans="2:19" ht="45" customHeight="1" x14ac:dyDescent="0.25">
      <c r="B115" s="59"/>
      <c r="C115" s="484"/>
      <c r="D115" s="580"/>
      <c r="E115" s="580" t="str">
        <f>IFERROR(IF(SUM(E116:E121)=0, "",IF(SUM(E116:E121)&gt;100, "A soma da % captação é superior a 100%. Por favor, reveja.", IF(SUM(E116:E121)&lt;100, "A soma da % captação é inferior a 100%. Por favor, reveja.", ""))),"")</f>
        <v/>
      </c>
      <c r="F115" s="509" t="str">
        <f>IFERROR(IF(SUM(F116:F121)=0, "",IF(SUM(F116:F121)&gt;100, "  A soma das TM é superior a 100%. Por favor, reveja.", IF(SUM(F116:F121)&lt;100, " A soma das TM é inferior a 100%. Por favor, reveja.", ""))),"")</f>
        <v/>
      </c>
      <c r="G115" s="136"/>
      <c r="H115" s="69"/>
      <c r="I115" s="54"/>
      <c r="J115" s="55"/>
      <c r="K115" s="48"/>
    </row>
    <row r="116" spans="2:19" ht="60" customHeight="1" x14ac:dyDescent="0.25">
      <c r="B116" s="59"/>
      <c r="C116" s="293" t="s">
        <v>741</v>
      </c>
      <c r="D116" s="292" t="s">
        <v>77</v>
      </c>
      <c r="E116" s="1110"/>
      <c r="F116" s="1408" t="s">
        <v>160</v>
      </c>
      <c r="G116" s="1409"/>
      <c r="H116" s="69"/>
      <c r="I116" s="54"/>
      <c r="J116" s="55"/>
      <c r="K116" s="48"/>
    </row>
    <row r="117" spans="2:19" ht="60" customHeight="1" x14ac:dyDescent="0.25">
      <c r="B117" s="59"/>
      <c r="C117" s="293" t="s">
        <v>742</v>
      </c>
      <c r="D117" s="292" t="s">
        <v>77</v>
      </c>
      <c r="E117" s="1110"/>
      <c r="F117" s="1408" t="s">
        <v>160</v>
      </c>
      <c r="G117" s="1409"/>
      <c r="H117" s="69"/>
      <c r="I117" s="54"/>
      <c r="J117" s="55"/>
      <c r="K117" s="48"/>
    </row>
    <row r="118" spans="2:19" ht="60" customHeight="1" x14ac:dyDescent="0.25">
      <c r="B118" s="59"/>
      <c r="C118" s="293" t="s">
        <v>743</v>
      </c>
      <c r="D118" s="292" t="s">
        <v>77</v>
      </c>
      <c r="E118" s="1110"/>
      <c r="F118" s="1408" t="s">
        <v>160</v>
      </c>
      <c r="G118" s="1409"/>
      <c r="H118" s="69"/>
      <c r="I118" s="54"/>
      <c r="J118" s="55"/>
      <c r="K118" s="48"/>
    </row>
    <row r="119" spans="2:19" ht="60" customHeight="1" x14ac:dyDescent="0.25">
      <c r="B119" s="59"/>
      <c r="C119" s="293" t="s">
        <v>1170</v>
      </c>
      <c r="D119" s="292" t="s">
        <v>77</v>
      </c>
      <c r="E119" s="1110"/>
      <c r="F119" s="1408" t="s">
        <v>160</v>
      </c>
      <c r="G119" s="1409"/>
      <c r="H119" s="69"/>
      <c r="I119" s="54"/>
      <c r="J119" s="55"/>
      <c r="K119" s="48"/>
    </row>
    <row r="120" spans="2:19" ht="60" customHeight="1" x14ac:dyDescent="0.25">
      <c r="B120" s="59"/>
      <c r="C120" s="293" t="s">
        <v>745</v>
      </c>
      <c r="D120" s="292" t="s">
        <v>77</v>
      </c>
      <c r="E120" s="1110"/>
      <c r="F120" s="1408" t="s">
        <v>160</v>
      </c>
      <c r="G120" s="1409"/>
      <c r="H120" s="69"/>
      <c r="I120" s="54"/>
      <c r="J120" s="55"/>
      <c r="K120" s="48"/>
    </row>
    <row r="121" spans="2:19" ht="60" customHeight="1" x14ac:dyDescent="0.25">
      <c r="B121" s="59"/>
      <c r="C121" s="293" t="s">
        <v>744</v>
      </c>
      <c r="D121" s="292" t="s">
        <v>77</v>
      </c>
      <c r="E121" s="1110"/>
      <c r="F121" s="1408" t="s">
        <v>160</v>
      </c>
      <c r="G121" s="1409"/>
      <c r="H121" s="69"/>
      <c r="I121" s="54"/>
      <c r="J121" s="55"/>
      <c r="K121" s="48"/>
    </row>
    <row r="122" spans="2:19" ht="15" customHeight="1" x14ac:dyDescent="0.25">
      <c r="B122" s="61"/>
      <c r="C122" s="75"/>
      <c r="D122" s="76"/>
      <c r="E122" s="76"/>
      <c r="F122" s="76"/>
      <c r="G122" s="76"/>
      <c r="H122" s="70"/>
      <c r="I122" s="54"/>
      <c r="J122" s="54"/>
      <c r="K122" s="54"/>
      <c r="L122" s="54"/>
    </row>
    <row r="125" spans="2:19" ht="46.9" customHeight="1" x14ac:dyDescent="0.25">
      <c r="B125" s="66"/>
      <c r="C125" s="66" t="s">
        <v>494</v>
      </c>
      <c r="D125" s="57"/>
      <c r="E125" s="57"/>
      <c r="F125" s="57"/>
      <c r="G125" s="57"/>
      <c r="H125" s="58"/>
    </row>
    <row r="126" spans="2:19" ht="24" customHeight="1" x14ac:dyDescent="0.25">
      <c r="B126" s="59"/>
      <c r="H126" s="60"/>
    </row>
    <row r="127" spans="2:19" ht="24" x14ac:dyDescent="0.25">
      <c r="B127" s="59"/>
      <c r="C127" s="1411" t="s">
        <v>857</v>
      </c>
      <c r="D127" s="1407"/>
      <c r="E127" s="1407"/>
      <c r="F127" s="1407"/>
      <c r="G127" s="115"/>
      <c r="H127" s="60"/>
      <c r="J127" s="55"/>
      <c r="K127" s="64"/>
      <c r="R127" s="55"/>
      <c r="S127" s="48"/>
    </row>
    <row r="128" spans="2:19" ht="46.9" customHeight="1" x14ac:dyDescent="0.25">
      <c r="B128" s="59"/>
      <c r="C128" s="592" t="s">
        <v>114</v>
      </c>
      <c r="D128" s="593" t="s">
        <v>3</v>
      </c>
      <c r="E128" s="593" t="s">
        <v>671</v>
      </c>
      <c r="F128" s="593" t="s">
        <v>673</v>
      </c>
      <c r="G128" s="212"/>
      <c r="H128" s="60"/>
      <c r="J128" s="55"/>
      <c r="K128" s="64"/>
      <c r="R128" s="55"/>
      <c r="S128" s="48"/>
    </row>
    <row r="129" spans="2:19" ht="46.9" customHeight="1" x14ac:dyDescent="0.25">
      <c r="B129" s="59"/>
      <c r="C129" s="311" t="s">
        <v>866</v>
      </c>
      <c r="D129" s="312" t="s">
        <v>681</v>
      </c>
      <c r="E129" s="522" t="str">
        <f>FACalc_ferrovia!D123</f>
        <v/>
      </c>
      <c r="F129" s="523" t="str">
        <f>FACalc_ferrovia!E123</f>
        <v/>
      </c>
      <c r="G129" s="213"/>
      <c r="H129" s="60"/>
      <c r="J129" s="55"/>
      <c r="K129" s="64"/>
      <c r="R129" s="55"/>
      <c r="S129" s="48"/>
    </row>
    <row r="130" spans="2:19" ht="46.9" customHeight="1" x14ac:dyDescent="0.25">
      <c r="B130" s="59"/>
      <c r="C130" s="313" t="s">
        <v>867</v>
      </c>
      <c r="D130" s="314" t="s">
        <v>681</v>
      </c>
      <c r="E130" s="524">
        <f>FACalc_ferrovia!D124</f>
        <v>0</v>
      </c>
      <c r="F130" s="525">
        <f>FACalc_ferrovia!E124</f>
        <v>0</v>
      </c>
      <c r="G130" s="604" t="str">
        <f>IF(F21="", "!Preencher Fator de Emissão de eletricidade","")</f>
        <v>!Preencher Fator de Emissão de eletricidade</v>
      </c>
      <c r="H130" s="60"/>
      <c r="J130" s="55"/>
      <c r="K130" s="64"/>
      <c r="R130" s="55"/>
      <c r="S130" s="48"/>
    </row>
    <row r="131" spans="2:19" ht="46.9" customHeight="1" x14ac:dyDescent="0.25">
      <c r="B131" s="59"/>
      <c r="C131" s="316" t="s">
        <v>868</v>
      </c>
      <c r="D131" s="317" t="s">
        <v>681</v>
      </c>
      <c r="E131" s="526" t="str">
        <f>FACalc_ferrovia!D125</f>
        <v/>
      </c>
      <c r="F131" s="527" t="str">
        <f>IFERROR(FACalc_ferrovia!E125," ")</f>
        <v/>
      </c>
      <c r="G131" s="213"/>
      <c r="H131" s="60"/>
      <c r="J131" s="55"/>
      <c r="K131" s="64"/>
      <c r="R131" s="55"/>
      <c r="S131" s="48"/>
    </row>
    <row r="132" spans="2:19" ht="46.9" customHeight="1" x14ac:dyDescent="0.25">
      <c r="B132" s="59"/>
      <c r="C132" s="790" t="s">
        <v>869</v>
      </c>
      <c r="D132" s="791" t="s">
        <v>681</v>
      </c>
      <c r="E132" s="792" t="str">
        <f>IFERROR(-E129,"")</f>
        <v/>
      </c>
      <c r="F132" s="793" t="str">
        <f>IFERROR(-F129,"")</f>
        <v/>
      </c>
      <c r="G132" s="213"/>
      <c r="H132" s="60"/>
      <c r="J132" s="55"/>
      <c r="K132" s="64"/>
      <c r="R132" s="55"/>
      <c r="S132" s="48"/>
    </row>
    <row r="133" spans="2:19" ht="46.9" customHeight="1" x14ac:dyDescent="0.25">
      <c r="B133" s="59"/>
      <c r="C133" s="320" t="s">
        <v>441</v>
      </c>
      <c r="D133" s="321" t="s">
        <v>784</v>
      </c>
      <c r="E133" s="528" t="str">
        <f>FACalc_ferrovia!D126</f>
        <v/>
      </c>
      <c r="F133" s="529" t="s">
        <v>107</v>
      </c>
      <c r="G133" s="213"/>
      <c r="H133" s="60"/>
      <c r="J133" s="55"/>
      <c r="K133" s="64"/>
      <c r="R133" s="55"/>
      <c r="S133" s="48"/>
    </row>
    <row r="134" spans="2:19" ht="46.9" customHeight="1" x14ac:dyDescent="0.25">
      <c r="B134" s="59"/>
      <c r="C134" s="320" t="s">
        <v>402</v>
      </c>
      <c r="D134" s="321" t="s">
        <v>681</v>
      </c>
      <c r="E134" s="528">
        <f>FACalc_ferrovia!D127</f>
        <v>0</v>
      </c>
      <c r="F134" s="529" t="s">
        <v>107</v>
      </c>
      <c r="G134" s="213"/>
      <c r="H134" s="60"/>
      <c r="J134" s="55"/>
      <c r="K134" s="64"/>
      <c r="R134" s="55"/>
      <c r="S134" s="48"/>
    </row>
    <row r="135" spans="2:19" ht="46.9" customHeight="1" x14ac:dyDescent="0.25">
      <c r="B135" s="59"/>
      <c r="C135" s="709" t="s">
        <v>870</v>
      </c>
      <c r="D135" s="1238" t="s">
        <v>1303</v>
      </c>
      <c r="E135" s="802" t="str">
        <f>FACalc_ferrovia!D128</f>
        <v/>
      </c>
      <c r="F135" s="607" t="str">
        <f>FACalc_ferrovia!E128</f>
        <v/>
      </c>
      <c r="G135" s="682" t="str">
        <f>IF(E135="","!Preencher Ano de início da exploração (ID_Identificação do Projeto)","" )</f>
        <v>!Preencher Ano de início da exploração (ID_Identificação do Projeto)</v>
      </c>
      <c r="H135" s="60"/>
      <c r="J135" s="55"/>
      <c r="K135" s="48"/>
      <c r="R135" s="55"/>
      <c r="S135" s="48"/>
    </row>
    <row r="136" spans="2:19" ht="46.9" customHeight="1" x14ac:dyDescent="0.25">
      <c r="B136" s="59"/>
      <c r="C136" s="87"/>
      <c r="D136" s="88"/>
      <c r="E136" s="88"/>
      <c r="F136" s="88"/>
      <c r="G136" s="88"/>
      <c r="H136" s="60"/>
      <c r="J136" s="55"/>
      <c r="K136" s="48"/>
      <c r="R136" s="55"/>
      <c r="S136" s="48"/>
    </row>
    <row r="137" spans="2:19" ht="24" x14ac:dyDescent="0.25">
      <c r="B137" s="59"/>
      <c r="C137" s="1407" t="s">
        <v>682</v>
      </c>
      <c r="D137" s="1407"/>
      <c r="E137" s="1407"/>
      <c r="F137" s="1407"/>
      <c r="G137" s="115"/>
      <c r="H137" s="60"/>
      <c r="J137" s="55"/>
      <c r="K137" s="48"/>
      <c r="R137" s="55"/>
      <c r="S137" s="48"/>
    </row>
    <row r="138" spans="2:19" ht="46.9" customHeight="1" x14ac:dyDescent="0.25">
      <c r="B138" s="59"/>
      <c r="C138" s="298" t="s">
        <v>329</v>
      </c>
      <c r="D138" s="591" t="s">
        <v>3</v>
      </c>
      <c r="E138" s="591" t="s">
        <v>671</v>
      </c>
      <c r="F138" s="591" t="s">
        <v>673</v>
      </c>
      <c r="G138" s="214"/>
      <c r="H138" s="60"/>
      <c r="J138" s="55"/>
      <c r="K138" s="48"/>
      <c r="R138" s="55"/>
      <c r="S138" s="48"/>
    </row>
    <row r="139" spans="2:19" ht="46.9" customHeight="1" x14ac:dyDescent="0.25">
      <c r="B139" s="59"/>
      <c r="C139" s="329" t="s">
        <v>504</v>
      </c>
      <c r="D139" s="330" t="s">
        <v>681</v>
      </c>
      <c r="E139" s="520" t="str">
        <f>IFERROR(FACalc_ferrovia!I115," ")</f>
        <v/>
      </c>
      <c r="F139" s="521" t="str">
        <f>IFERROR(FACalc_ferrovia!J115," ")</f>
        <v/>
      </c>
      <c r="G139" s="213"/>
      <c r="H139" s="60"/>
      <c r="J139" s="207"/>
      <c r="K139" s="48"/>
      <c r="R139" s="55"/>
      <c r="S139" s="48"/>
    </row>
    <row r="140" spans="2:19" ht="46.9" customHeight="1" x14ac:dyDescent="0.25">
      <c r="B140" s="59"/>
      <c r="C140" s="331" t="s">
        <v>334</v>
      </c>
      <c r="D140" s="332" t="s">
        <v>681</v>
      </c>
      <c r="E140" s="449">
        <f>IFERROR(FACalc_ferrovia!I116," ")</f>
        <v>0</v>
      </c>
      <c r="F140" s="450">
        <f>IFERROR(FACalc_ferrovia!J116," ")</f>
        <v>0</v>
      </c>
      <c r="G140" s="213"/>
      <c r="H140" s="60"/>
      <c r="J140" s="55"/>
      <c r="K140" s="48"/>
      <c r="R140" s="55"/>
      <c r="S140" s="48"/>
    </row>
    <row r="141" spans="2:19" ht="46.9" customHeight="1" x14ac:dyDescent="0.25">
      <c r="B141" s="59"/>
      <c r="C141" s="333" t="s">
        <v>360</v>
      </c>
      <c r="D141" s="334" t="s">
        <v>681</v>
      </c>
      <c r="E141" s="318" t="str">
        <f>IFERROR(FACalc_ferrovia!I117," ")</f>
        <v/>
      </c>
      <c r="F141" s="319" t="str">
        <f>IFERROR(FACalc_ferrovia!J117," ")</f>
        <v/>
      </c>
      <c r="G141" s="213"/>
      <c r="H141" s="60"/>
      <c r="J141" s="55"/>
      <c r="K141" s="48"/>
      <c r="R141" s="55"/>
      <c r="S141" s="48"/>
    </row>
    <row r="142" spans="2:19" ht="46.9" customHeight="1" x14ac:dyDescent="0.25">
      <c r="B142" s="59"/>
      <c r="C142" s="310" t="s">
        <v>330</v>
      </c>
      <c r="D142" s="591" t="s">
        <v>3</v>
      </c>
      <c r="E142" s="591" t="s">
        <v>671</v>
      </c>
      <c r="F142" s="591" t="s">
        <v>673</v>
      </c>
      <c r="G142" s="214"/>
      <c r="H142" s="60"/>
      <c r="J142" s="55"/>
      <c r="K142" s="48"/>
      <c r="R142" s="55"/>
      <c r="S142" s="48"/>
    </row>
    <row r="143" spans="2:19" ht="46.9" customHeight="1" x14ac:dyDescent="0.25">
      <c r="B143" s="59"/>
      <c r="C143" s="329" t="s">
        <v>504</v>
      </c>
      <c r="D143" s="330" t="s">
        <v>681</v>
      </c>
      <c r="E143" s="520">
        <f>IFERROR(FACalc_ferrovia!I119," ")</f>
        <v>0</v>
      </c>
      <c r="F143" s="521">
        <f>IFERROR(FACalc_ferrovia!J119," ")</f>
        <v>0</v>
      </c>
      <c r="G143" s="213"/>
      <c r="H143" s="60"/>
      <c r="J143" s="55"/>
      <c r="K143" s="48"/>
      <c r="R143" s="55"/>
      <c r="S143" s="48"/>
    </row>
    <row r="144" spans="2:19" ht="46.9" customHeight="1" x14ac:dyDescent="0.25">
      <c r="B144" s="59"/>
      <c r="C144" s="331" t="s">
        <v>334</v>
      </c>
      <c r="D144" s="332" t="s">
        <v>681</v>
      </c>
      <c r="E144" s="449">
        <f>IFERROR(FACalc_ferrovia!I120," ")</f>
        <v>0</v>
      </c>
      <c r="F144" s="450">
        <f>IFERROR(FACalc_ferrovia!J120," ")</f>
        <v>0</v>
      </c>
      <c r="G144" s="213"/>
      <c r="H144" s="60"/>
      <c r="J144" s="54"/>
      <c r="K144" s="54"/>
      <c r="R144" s="55"/>
      <c r="S144" s="48"/>
    </row>
    <row r="145" spans="2:19" ht="46.9" customHeight="1" x14ac:dyDescent="0.25">
      <c r="B145" s="59"/>
      <c r="C145" s="333" t="s">
        <v>360</v>
      </c>
      <c r="D145" s="334" t="s">
        <v>681</v>
      </c>
      <c r="E145" s="318">
        <f>IFERROR(FACalc_ferrovia!I121," ")</f>
        <v>0</v>
      </c>
      <c r="F145" s="319">
        <f>IFERROR(FACalc_ferrovia!J121," ")</f>
        <v>0</v>
      </c>
      <c r="G145" s="213"/>
      <c r="H145" s="60"/>
      <c r="J145" s="54" t="s">
        <v>112</v>
      </c>
      <c r="K145" s="54"/>
      <c r="R145" s="55"/>
      <c r="S145" s="48"/>
    </row>
    <row r="146" spans="2:19" ht="46.9" customHeight="1" x14ac:dyDescent="0.25">
      <c r="B146" s="59"/>
      <c r="C146" s="310" t="s">
        <v>331</v>
      </c>
      <c r="D146" s="591" t="s">
        <v>3</v>
      </c>
      <c r="E146" s="591" t="s">
        <v>671</v>
      </c>
      <c r="F146" s="591" t="s">
        <v>673</v>
      </c>
      <c r="G146" s="213"/>
      <c r="H146" s="60"/>
      <c r="J146" s="54"/>
      <c r="K146" s="54"/>
      <c r="R146" s="55"/>
      <c r="S146" s="48"/>
    </row>
    <row r="147" spans="2:19" ht="46.9" customHeight="1" x14ac:dyDescent="0.25">
      <c r="B147" s="59"/>
      <c r="C147" s="329" t="s">
        <v>504</v>
      </c>
      <c r="D147" s="330" t="s">
        <v>681</v>
      </c>
      <c r="E147" s="520">
        <f>IFERROR(FACalc_ferrovia!I123," ")</f>
        <v>0</v>
      </c>
      <c r="F147" s="521">
        <f>IFERROR(FACalc_ferrovia!J123," ")</f>
        <v>0</v>
      </c>
      <c r="G147" s="213"/>
      <c r="H147" s="60"/>
      <c r="J147" s="54"/>
      <c r="K147" s="54"/>
      <c r="R147" s="55"/>
      <c r="S147" s="48"/>
    </row>
    <row r="148" spans="2:19" ht="46.9" customHeight="1" x14ac:dyDescent="0.25">
      <c r="B148" s="59"/>
      <c r="C148" s="331" t="s">
        <v>334</v>
      </c>
      <c r="D148" s="332" t="s">
        <v>681</v>
      </c>
      <c r="E148" s="449">
        <f>IFERROR(FACalc_ferrovia!I124," ")</f>
        <v>0</v>
      </c>
      <c r="F148" s="450">
        <f>IFERROR(FACalc_ferrovia!J124," ")</f>
        <v>0</v>
      </c>
      <c r="G148" s="213"/>
      <c r="H148" s="60"/>
      <c r="J148" s="54"/>
      <c r="K148" s="54"/>
      <c r="R148" s="55"/>
      <c r="S148" s="48"/>
    </row>
    <row r="149" spans="2:19" ht="46.9" customHeight="1" x14ac:dyDescent="0.25">
      <c r="B149" s="59"/>
      <c r="C149" s="333" t="s">
        <v>360</v>
      </c>
      <c r="D149" s="334" t="s">
        <v>681</v>
      </c>
      <c r="E149" s="318">
        <f>IFERROR(FACalc_ferrovia!I125," ")</f>
        <v>0</v>
      </c>
      <c r="F149" s="319">
        <f>IFERROR(FACalc_ferrovia!J125," ")</f>
        <v>0</v>
      </c>
      <c r="G149" s="213"/>
      <c r="H149" s="60"/>
      <c r="J149" s="208"/>
      <c r="K149" s="54"/>
      <c r="R149" s="55"/>
      <c r="S149" s="48"/>
    </row>
    <row r="150" spans="2:19" ht="46.9" customHeight="1" x14ac:dyDescent="0.25">
      <c r="B150" s="59"/>
      <c r="C150" s="310" t="s">
        <v>333</v>
      </c>
      <c r="D150" s="591" t="s">
        <v>3</v>
      </c>
      <c r="E150" s="591" t="s">
        <v>671</v>
      </c>
      <c r="F150" s="591" t="s">
        <v>673</v>
      </c>
      <c r="G150" s="214"/>
      <c r="H150" s="60"/>
      <c r="J150" s="208"/>
      <c r="K150" s="54"/>
      <c r="R150" s="55"/>
      <c r="S150" s="48"/>
    </row>
    <row r="151" spans="2:19" ht="46.9" customHeight="1" x14ac:dyDescent="0.25">
      <c r="B151" s="59"/>
      <c r="C151" s="329" t="s">
        <v>504</v>
      </c>
      <c r="D151" s="330" t="s">
        <v>681</v>
      </c>
      <c r="E151" s="520">
        <f>IFERROR(FACalc_ferrovia!I127," ")</f>
        <v>0</v>
      </c>
      <c r="F151" s="521">
        <f>IFERROR(FACalc_ferrovia!J127," ")</f>
        <v>0</v>
      </c>
      <c r="G151" s="213"/>
      <c r="H151" s="60"/>
      <c r="J151" s="208"/>
      <c r="K151" s="54"/>
      <c r="R151" s="55"/>
      <c r="S151" s="48"/>
    </row>
    <row r="152" spans="2:19" ht="46.9" customHeight="1" x14ac:dyDescent="0.25">
      <c r="B152" s="59"/>
      <c r="C152" s="331" t="s">
        <v>334</v>
      </c>
      <c r="D152" s="332" t="s">
        <v>681</v>
      </c>
      <c r="E152" s="449">
        <f>IFERROR(FACalc_ferrovia!I128," ")</f>
        <v>0</v>
      </c>
      <c r="F152" s="450">
        <f>IFERROR(FACalc_ferrovia!J128," ")</f>
        <v>0</v>
      </c>
      <c r="G152" s="213"/>
      <c r="H152" s="60"/>
      <c r="J152" s="208"/>
      <c r="K152" s="54"/>
      <c r="R152" s="55"/>
      <c r="S152" s="48"/>
    </row>
    <row r="153" spans="2:19" ht="46.9" customHeight="1" x14ac:dyDescent="0.25">
      <c r="B153" s="59"/>
      <c r="C153" s="333" t="s">
        <v>360</v>
      </c>
      <c r="D153" s="334" t="s">
        <v>681</v>
      </c>
      <c r="E153" s="318">
        <f>IFERROR(FACalc_ferrovia!I129," ")</f>
        <v>0</v>
      </c>
      <c r="F153" s="319">
        <f>IFERROR(FACalc_ferrovia!J129," ")</f>
        <v>0</v>
      </c>
      <c r="G153" s="213"/>
      <c r="H153" s="60"/>
      <c r="J153" s="208"/>
      <c r="K153" s="54"/>
      <c r="R153" s="55"/>
      <c r="S153" s="48"/>
    </row>
    <row r="154" spans="2:19" ht="46.9" customHeight="1" x14ac:dyDescent="0.25">
      <c r="B154" s="59"/>
      <c r="C154" s="310" t="s">
        <v>332</v>
      </c>
      <c r="D154" s="591" t="s">
        <v>3</v>
      </c>
      <c r="E154" s="591" t="s">
        <v>671</v>
      </c>
      <c r="F154" s="591" t="s">
        <v>673</v>
      </c>
      <c r="G154" s="213"/>
      <c r="H154" s="60"/>
      <c r="J154" s="208"/>
      <c r="K154" s="54"/>
      <c r="R154" s="55"/>
      <c r="S154" s="48"/>
    </row>
    <row r="155" spans="2:19" ht="46.9" customHeight="1" x14ac:dyDescent="0.25">
      <c r="B155" s="59"/>
      <c r="C155" s="329" t="s">
        <v>504</v>
      </c>
      <c r="D155" s="330" t="s">
        <v>681</v>
      </c>
      <c r="E155" s="520" t="str">
        <f>IFERROR(FACalc_ferrovia!I131," ")</f>
        <v/>
      </c>
      <c r="F155" s="521" t="str">
        <f>IFERROR(FACalc_ferrovia!J131," ")</f>
        <v/>
      </c>
      <c r="G155" s="213"/>
      <c r="H155" s="60"/>
      <c r="J155" s="208"/>
      <c r="K155" s="54"/>
      <c r="R155" s="55"/>
      <c r="S155" s="48"/>
    </row>
    <row r="156" spans="2:19" ht="46.9" customHeight="1" x14ac:dyDescent="0.25">
      <c r="B156" s="59"/>
      <c r="C156" s="331" t="s">
        <v>334</v>
      </c>
      <c r="D156" s="332" t="s">
        <v>681</v>
      </c>
      <c r="E156" s="449">
        <f>IFERROR(FACalc_ferrovia!I132," ")</f>
        <v>0</v>
      </c>
      <c r="F156" s="450">
        <f>IFERROR(FACalc_ferrovia!J132," ")</f>
        <v>0</v>
      </c>
      <c r="G156" s="213"/>
      <c r="H156" s="60"/>
      <c r="J156" s="208"/>
      <c r="K156" s="54"/>
      <c r="R156" s="55"/>
      <c r="S156" s="48"/>
    </row>
    <row r="157" spans="2:19" ht="46.9" customHeight="1" x14ac:dyDescent="0.25">
      <c r="B157" s="59"/>
      <c r="C157" s="333" t="s">
        <v>360</v>
      </c>
      <c r="D157" s="334" t="s">
        <v>681</v>
      </c>
      <c r="E157" s="318" t="str">
        <f>IFERROR(FACalc_ferrovia!I133," ")</f>
        <v/>
      </c>
      <c r="F157" s="319" t="str">
        <f>IFERROR(FACalc_ferrovia!J133," ")</f>
        <v/>
      </c>
      <c r="G157" s="213"/>
      <c r="H157" s="60"/>
      <c r="J157" s="208"/>
      <c r="K157" s="54"/>
      <c r="R157" s="55"/>
      <c r="S157" s="48"/>
    </row>
    <row r="158" spans="2:19" ht="46.9" customHeight="1" x14ac:dyDescent="0.25">
      <c r="B158" s="59"/>
      <c r="C158" s="310" t="s">
        <v>739</v>
      </c>
      <c r="D158" s="591" t="s">
        <v>3</v>
      </c>
      <c r="E158" s="591" t="s">
        <v>671</v>
      </c>
      <c r="F158" s="591" t="s">
        <v>673</v>
      </c>
      <c r="G158" s="214"/>
      <c r="H158" s="60"/>
      <c r="J158" s="54"/>
      <c r="K158" s="54"/>
      <c r="R158" s="55"/>
      <c r="S158" s="48"/>
    </row>
    <row r="159" spans="2:19" ht="46.9" customHeight="1" x14ac:dyDescent="0.25">
      <c r="B159" s="59"/>
      <c r="C159" s="329" t="s">
        <v>504</v>
      </c>
      <c r="D159" s="330" t="s">
        <v>681</v>
      </c>
      <c r="E159" s="520" t="str">
        <f>IFERROR(FACalc_ferrovia!I135," ")</f>
        <v xml:space="preserve"> </v>
      </c>
      <c r="F159" s="521" t="str">
        <f>IFERROR(FACalc_ferrovia!J135," ")</f>
        <v xml:space="preserve"> </v>
      </c>
      <c r="G159" s="213"/>
      <c r="H159" s="60"/>
      <c r="J159" s="54"/>
      <c r="K159" s="64"/>
      <c r="R159" s="54"/>
      <c r="S159" s="54"/>
    </row>
    <row r="160" spans="2:19" ht="46.9" customHeight="1" x14ac:dyDescent="0.25">
      <c r="B160" s="59"/>
      <c r="C160" s="331" t="s">
        <v>334</v>
      </c>
      <c r="D160" s="332" t="s">
        <v>681</v>
      </c>
      <c r="E160" s="449">
        <f>IFERROR(FACalc_ferrovia!I136," ")</f>
        <v>0</v>
      </c>
      <c r="F160" s="450">
        <f>IFERROR(FACalc_ferrovia!J136," ")</f>
        <v>0</v>
      </c>
      <c r="G160" s="213"/>
      <c r="H160" s="60"/>
      <c r="J160" s="159"/>
      <c r="K160" s="54"/>
      <c r="R160" s="54"/>
      <c r="S160" s="54"/>
    </row>
    <row r="161" spans="2:19" ht="46.9" customHeight="1" x14ac:dyDescent="0.25">
      <c r="B161" s="59"/>
      <c r="C161" s="333" t="s">
        <v>360</v>
      </c>
      <c r="D161" s="334" t="s">
        <v>681</v>
      </c>
      <c r="E161" s="318" t="str">
        <f>IFERROR(FACalc_ferrovia!I137," ")</f>
        <v/>
      </c>
      <c r="F161" s="319" t="str">
        <f>IFERROR(FACalc_ferrovia!J137," ")</f>
        <v/>
      </c>
      <c r="G161" s="213"/>
      <c r="H161" s="60"/>
      <c r="J161" s="54"/>
      <c r="K161" s="64"/>
      <c r="R161" s="54"/>
      <c r="S161" s="64"/>
    </row>
    <row r="162" spans="2:19" ht="46.9" customHeight="1" x14ac:dyDescent="0.25">
      <c r="B162" s="59"/>
      <c r="C162" s="603"/>
      <c r="D162" s="812"/>
      <c r="E162" s="734"/>
      <c r="F162" s="734"/>
      <c r="G162" s="88"/>
      <c r="H162" s="60"/>
      <c r="J162" s="54"/>
      <c r="K162" s="64"/>
      <c r="R162" s="54"/>
      <c r="S162" s="64"/>
    </row>
    <row r="163" spans="2:19" ht="24" x14ac:dyDescent="0.25">
      <c r="B163" s="59"/>
      <c r="C163" s="1407" t="s">
        <v>972</v>
      </c>
      <c r="D163" s="1407"/>
      <c r="E163" s="1407"/>
      <c r="F163" s="1407"/>
      <c r="G163" s="115"/>
      <c r="H163" s="60"/>
      <c r="J163" s="54"/>
      <c r="K163" s="64"/>
      <c r="R163" s="54"/>
      <c r="S163" s="64"/>
    </row>
    <row r="164" spans="2:19" ht="46.9" customHeight="1" x14ac:dyDescent="0.25">
      <c r="B164" s="59"/>
      <c r="C164" s="759"/>
      <c r="D164" s="759" t="s">
        <v>3</v>
      </c>
      <c r="E164" s="759" t="s">
        <v>338</v>
      </c>
      <c r="F164" s="759" t="s">
        <v>16</v>
      </c>
      <c r="G164" s="759" t="s">
        <v>339</v>
      </c>
      <c r="H164" s="60"/>
      <c r="J164" s="54"/>
      <c r="K164" s="64"/>
      <c r="R164" s="54"/>
      <c r="S164" s="64"/>
    </row>
    <row r="165" spans="2:19" ht="46.9" customHeight="1" x14ac:dyDescent="0.25">
      <c r="B165" s="59"/>
      <c r="C165" s="804" t="s">
        <v>672</v>
      </c>
      <c r="D165" s="805" t="s">
        <v>889</v>
      </c>
      <c r="E165" s="806" t="str">
        <f>IFERROR((E166/FACalc_ferrovia!$C$11)," ")</f>
        <v xml:space="preserve"> </v>
      </c>
      <c r="F165" s="806" t="str">
        <f>IFERROR((F166/FACalc_ferrovia!$C$11)," ")</f>
        <v xml:space="preserve"> </v>
      </c>
      <c r="G165" s="807" t="str">
        <f>IFERROR((G166/FACalc_ferrovia!$C$11)," ")</f>
        <v xml:space="preserve"> </v>
      </c>
      <c r="H165" s="60"/>
      <c r="J165" s="654"/>
      <c r="K165" s="54"/>
      <c r="R165" s="54"/>
      <c r="S165" s="54"/>
    </row>
    <row r="166" spans="2:19" ht="46.9" customHeight="1" x14ac:dyDescent="0.25">
      <c r="B166" s="59"/>
      <c r="C166" s="1248" t="s">
        <v>1321</v>
      </c>
      <c r="D166" s="805" t="s">
        <v>679</v>
      </c>
      <c r="E166" s="806">
        <f>IFERROR(E140,"")</f>
        <v>0</v>
      </c>
      <c r="F166" s="806">
        <f>IFERROR(E144+E148+E152,"")</f>
        <v>0</v>
      </c>
      <c r="G166" s="807">
        <f>IFERROR(E156,"")</f>
        <v>0</v>
      </c>
      <c r="H166" s="60"/>
      <c r="J166" s="655"/>
      <c r="K166" s="64"/>
      <c r="R166" s="54"/>
      <c r="S166" s="54"/>
    </row>
    <row r="167" spans="2:19" ht="46.9" customHeight="1" x14ac:dyDescent="0.25">
      <c r="B167" s="59"/>
      <c r="C167" s="1248" t="s">
        <v>1343</v>
      </c>
      <c r="D167" s="805" t="s">
        <v>1239</v>
      </c>
      <c r="E167" s="809" t="str">
        <f>IFERROR(E166/E51,"")</f>
        <v/>
      </c>
      <c r="F167" s="809" t="str">
        <f>IFERROR(F166/(E54+E57+E60),"")</f>
        <v/>
      </c>
      <c r="G167" s="810" t="str">
        <f>IFERROR(G166/E63,"")</f>
        <v/>
      </c>
      <c r="H167" s="60"/>
      <c r="J167" s="54"/>
      <c r="K167" s="64"/>
      <c r="R167" s="54"/>
      <c r="S167" s="54"/>
    </row>
    <row r="168" spans="2:19" ht="46.9" customHeight="1" x14ac:dyDescent="0.25">
      <c r="B168" s="59"/>
      <c r="C168" s="1248" t="s">
        <v>1344</v>
      </c>
      <c r="D168" s="808" t="s">
        <v>780</v>
      </c>
      <c r="E168" s="806" t="str">
        <f>IFERROR(E166/FACalc_ferrovia!G10,"")</f>
        <v/>
      </c>
      <c r="F168" s="806" t="str">
        <f>IFERROR(F166/(FACalc_ferrovia!G11+FACalc_ferrovia!G12+FACalc_ferrovia!G13),"")</f>
        <v/>
      </c>
      <c r="G168" s="807" t="str">
        <f>IFERROR(G166/FACalc_ferrovia!G14,"")</f>
        <v/>
      </c>
      <c r="H168" s="60"/>
      <c r="J168" s="54"/>
      <c r="K168" s="54"/>
      <c r="R168" s="54"/>
      <c r="S168" s="54"/>
    </row>
    <row r="169" spans="2:19" ht="15" customHeight="1" x14ac:dyDescent="0.25">
      <c r="B169" s="61"/>
      <c r="C169" s="75"/>
      <c r="D169" s="76"/>
      <c r="E169" s="76"/>
      <c r="F169" s="76"/>
      <c r="G169" s="76"/>
      <c r="H169" s="70"/>
      <c r="I169" s="54"/>
      <c r="J169" s="54"/>
      <c r="K169" s="54"/>
    </row>
    <row r="170" spans="2:19" ht="24" customHeight="1" x14ac:dyDescent="0.25"/>
    <row r="171" spans="2:19" ht="24" customHeight="1" x14ac:dyDescent="0.25"/>
    <row r="172" spans="2:19" ht="24" customHeight="1" x14ac:dyDescent="0.25"/>
    <row r="173" spans="2:19" ht="24" customHeight="1" x14ac:dyDescent="0.25"/>
    <row r="174" spans="2:19" ht="24" customHeight="1" x14ac:dyDescent="0.25"/>
    <row r="175" spans="2:19" ht="24" customHeight="1" x14ac:dyDescent="0.25"/>
    <row r="176" spans="2:19" ht="24" customHeight="1" x14ac:dyDescent="0.25"/>
  </sheetData>
  <sheetProtection algorithmName="SHA-512" hashValue="Otk1FuCh7r5WUoQxsMzp7aab3ZpEfYCEv4aE0iB8rAu5sJ4jsC/Uhi8qqx/164X8n1zuILepIyRWQpn5xKzB/w==" saltValue="RQ3csx5nncIHsUB19Ta0wg==" spinCount="100000" sheet="1" objects="1" scenarios="1" selectLockedCells="1"/>
  <mergeCells count="103">
    <mergeCell ref="F85:G85"/>
    <mergeCell ref="F109:G109"/>
    <mergeCell ref="F79:G79"/>
    <mergeCell ref="F120:G120"/>
    <mergeCell ref="C74:G74"/>
    <mergeCell ref="D75:G75"/>
    <mergeCell ref="D76:G76"/>
    <mergeCell ref="F58:G58"/>
    <mergeCell ref="F61:G61"/>
    <mergeCell ref="F116:G116"/>
    <mergeCell ref="F117:G117"/>
    <mergeCell ref="F118:G118"/>
    <mergeCell ref="F110:G110"/>
    <mergeCell ref="F93:G93"/>
    <mergeCell ref="F100:G100"/>
    <mergeCell ref="F111:G111"/>
    <mergeCell ref="F112:G112"/>
    <mergeCell ref="F113:G113"/>
    <mergeCell ref="F84:G84"/>
    <mergeCell ref="F91:G91"/>
    <mergeCell ref="F98:G98"/>
    <mergeCell ref="F105:G105"/>
    <mergeCell ref="D77:G77"/>
    <mergeCell ref="C72:F72"/>
    <mergeCell ref="Q23:Q24"/>
    <mergeCell ref="R23:R24"/>
    <mergeCell ref="L36:L37"/>
    <mergeCell ref="M38:M39"/>
    <mergeCell ref="M36:M37"/>
    <mergeCell ref="J29:K29"/>
    <mergeCell ref="F48:G48"/>
    <mergeCell ref="F50:G50"/>
    <mergeCell ref="J21:L23"/>
    <mergeCell ref="C38:G38"/>
    <mergeCell ref="C39:C42"/>
    <mergeCell ref="D39:G39"/>
    <mergeCell ref="C32:D32"/>
    <mergeCell ref="F49:G49"/>
    <mergeCell ref="C28:D28"/>
    <mergeCell ref="D41:G41"/>
    <mergeCell ref="D42:G42"/>
    <mergeCell ref="D40:G40"/>
    <mergeCell ref="F47:G47"/>
    <mergeCell ref="F119:G119"/>
    <mergeCell ref="F81:G81"/>
    <mergeCell ref="F82:G82"/>
    <mergeCell ref="F121:G121"/>
    <mergeCell ref="P23:P24"/>
    <mergeCell ref="F86:G86"/>
    <mergeCell ref="F114:G114"/>
    <mergeCell ref="F88:G88"/>
    <mergeCell ref="F89:G89"/>
    <mergeCell ref="F90:G90"/>
    <mergeCell ref="F92:G92"/>
    <mergeCell ref="F95:G95"/>
    <mergeCell ref="F96:G96"/>
    <mergeCell ref="F97:G97"/>
    <mergeCell ref="F99:G99"/>
    <mergeCell ref="F102:G102"/>
    <mergeCell ref="F103:G103"/>
    <mergeCell ref="F104:G104"/>
    <mergeCell ref="F106:G106"/>
    <mergeCell ref="F107:G107"/>
    <mergeCell ref="F83:G83"/>
    <mergeCell ref="C78:F78"/>
    <mergeCell ref="F51:G51"/>
    <mergeCell ref="F65:G65"/>
    <mergeCell ref="D11:G11"/>
    <mergeCell ref="D12:G12"/>
    <mergeCell ref="C13:C18"/>
    <mergeCell ref="D13:G13"/>
    <mergeCell ref="D14:G14"/>
    <mergeCell ref="D15:G15"/>
    <mergeCell ref="D16:G16"/>
    <mergeCell ref="D17:G17"/>
    <mergeCell ref="C43:C45"/>
    <mergeCell ref="E45:G45"/>
    <mergeCell ref="D44:G44"/>
    <mergeCell ref="D43:G43"/>
    <mergeCell ref="C163:F163"/>
    <mergeCell ref="K4:L4"/>
    <mergeCell ref="J27:K27"/>
    <mergeCell ref="J28:K28"/>
    <mergeCell ref="J36:K37"/>
    <mergeCell ref="K20:L20"/>
    <mergeCell ref="F66:G66"/>
    <mergeCell ref="F60:G60"/>
    <mergeCell ref="F59:G59"/>
    <mergeCell ref="F57:G57"/>
    <mergeCell ref="F56:G56"/>
    <mergeCell ref="F54:G54"/>
    <mergeCell ref="F62:G62"/>
    <mergeCell ref="F63:G63"/>
    <mergeCell ref="F64:G64"/>
    <mergeCell ref="F52:G52"/>
    <mergeCell ref="F55:G55"/>
    <mergeCell ref="F53:G53"/>
    <mergeCell ref="D18:F18"/>
    <mergeCell ref="J5:L9"/>
    <mergeCell ref="C127:F127"/>
    <mergeCell ref="C137:F137"/>
    <mergeCell ref="D9:G9"/>
    <mergeCell ref="D10:G10"/>
  </mergeCells>
  <dataValidations count="4">
    <dataValidation errorStyle="warning" allowBlank="1" showInputMessage="1" showErrorMessage="1" error="Não Introduzir valor" sqref="E65:E66 E53:E54 E56:E57 E48 F22:F31 F33:F34 E62:E63 E59:E60 E50:E51" xr:uid="{5B286A40-215E-4D80-82D3-06D9C636164F}"/>
    <dataValidation type="list" allowBlank="1" showInputMessage="1" showErrorMessage="1" sqref="K4:L4" xr:uid="{C9D12F83-A173-4F98-9016-DD4CC7470942}">
      <formula1>$T$4:$T$6</formula1>
    </dataValidation>
    <dataValidation type="list" allowBlank="1" showInputMessage="1" showErrorMessage="1" sqref="K20" xr:uid="{8791AA28-C31B-4880-9515-AB328A3A408C}">
      <formula1>$T$20:$T$22</formula1>
    </dataValidation>
    <dataValidation type="list" allowBlank="1" showInputMessage="1" showErrorMessage="1" sqref="T21:T22" xr:uid="{4AA557D9-50C4-4DBE-98F3-9DA0E1B32807}">
      <formula1>$T$21:$T$22</formula1>
    </dataValidation>
  </dataValidations>
  <hyperlinks>
    <hyperlink ref="E45:G45" r:id="rId1" display="Mobilidade e funcionalidade do território nas Áreas Metropolitanas do Porto e de Lisboa : 2017" xr:uid="{9BC50E9E-7952-4BC5-B27F-67D22B1E201E}"/>
    <hyperlink ref="G130" location="'TM3_ferrovia e metro'!F20" display="'TM3_ferrovia e metro'!F20" xr:uid="{8ECE5732-1BDA-4761-92ED-03AAC70D05B2}"/>
    <hyperlink ref="G18" location="'Fatores de Emissão'!A1" display="Fatores de Emissão" xr:uid="{BC0B3037-D39C-4E23-962A-63E699F9DD98}"/>
  </hyperlinks>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0" id="{464FD1AA-61AD-44D9-81E7-96C8D717CEA7}">
            <xm:f>FACalc_rodovia!$C$11=FAListas!#REF!</xm:f>
            <x14:dxf>
              <fill>
                <patternFill>
                  <bgColor theme="1"/>
                </patternFill>
              </fill>
            </x14:dxf>
          </x14:cfRule>
          <xm:sqref>C129:D135</xm:sqref>
        </x14:conditionalFormatting>
        <x14:conditionalFormatting xmlns:xm="http://schemas.microsoft.com/office/excel/2006/main">
          <x14:cfRule type="expression" priority="21" id="{D313FD30-198E-41C5-A028-3A0690474651}">
            <xm:f>FACalc_rodovia!$C$11=FAListas!#REF!</xm:f>
            <x14:dxf>
              <fill>
                <patternFill>
                  <bgColor theme="1"/>
                </patternFill>
              </fill>
            </x14:dxf>
          </x14:cfRule>
          <xm:sqref>C128:F128</xm:sqref>
        </x14:conditionalFormatting>
        <x14:conditionalFormatting xmlns:xm="http://schemas.microsoft.com/office/excel/2006/main">
          <x14:cfRule type="expression" priority="30" id="{FCB781F8-983C-49C7-B2B6-76BFB07A7EB8}">
            <xm:f>FACalc_ferrovia!$C$10=FAListas!$C$6</xm:f>
            <x14:dxf>
              <fill>
                <patternFill>
                  <bgColor theme="1"/>
                </patternFill>
              </fill>
            </x14:dxf>
          </x14:cfRule>
          <xm:sqref>D80:F80 D87:F87 D94:F94 D101:F101</xm:sqref>
        </x14:conditionalFormatting>
        <x14:conditionalFormatting xmlns:xm="http://schemas.microsoft.com/office/excel/2006/main">
          <x14:cfRule type="expression" priority="2" id="{34611430-EEEF-4C69-99C2-549E4CEB31B5}">
            <xm:f>FACalc_ferrovia!$C$10=FAListas!$C$6</xm:f>
            <x14:dxf>
              <fill>
                <patternFill>
                  <bgColor theme="1"/>
                </patternFill>
              </fill>
            </x14:dxf>
          </x14:cfRule>
          <xm:sqref>D108:F108</xm:sqref>
        </x14:conditionalFormatting>
        <x14:conditionalFormatting xmlns:xm="http://schemas.microsoft.com/office/excel/2006/main">
          <x14:cfRule type="expression" priority="1" id="{82402B8C-22EE-43E8-953A-E4F8A38A6261}">
            <xm:f>FACalc_ferrovia!$C$10=FAListas!$C$6</xm:f>
            <x14:dxf>
              <fill>
                <patternFill>
                  <bgColor theme="1"/>
                </patternFill>
              </fill>
            </x14:dxf>
          </x14:cfRule>
          <xm:sqref>D115:F115</xm:sqref>
        </x14:conditionalFormatting>
        <x14:conditionalFormatting xmlns:xm="http://schemas.microsoft.com/office/excel/2006/main">
          <x14:cfRule type="expression" priority="854" id="{1783BDEE-3607-4FD1-AB4C-80FC68A86E55}">
            <xm:f>FACalc_ferrovia!$C$10=FAListas!#REF!</xm:f>
            <x14:dxf>
              <fill>
                <patternFill>
                  <bgColor theme="1"/>
                </patternFill>
              </fill>
            </x14:dxf>
          </x14:cfRule>
          <xm:sqref>E48 E50:E51 E53:E54 E56:E57 E59:E60 E62:E63 E65:E66 E81:E85 E88:E92 E95:E99 E102:E106 E109:E113 E116:E121 G128 E129:G135</xm:sqref>
        </x14:conditionalFormatting>
        <x14:conditionalFormatting xmlns:xm="http://schemas.microsoft.com/office/excel/2006/main">
          <x14:cfRule type="expression" priority="14" id="{49312EB9-D1E0-4C06-91C5-C5E13CABC450}">
            <xm:f>IF(#REF!=FAListas!$C$6,TRUE, IF(#REF!=FAListas!#REF!, TRUE,""))</xm:f>
            <x14:dxf>
              <fill>
                <patternFill>
                  <bgColor theme="1"/>
                </patternFill>
              </fill>
            </x14:dxf>
          </x14:cfRule>
          <xm:sqref>E155:F155</xm:sqref>
        </x14:conditionalFormatting>
        <x14:conditionalFormatting xmlns:xm="http://schemas.microsoft.com/office/excel/2006/main">
          <x14:cfRule type="expression" priority="862" id="{D4022019-695C-4C18-9CAE-E3DE10D81A0F}">
            <xm:f>IF(#REF!=FAListas!$C$6,TRUE, IF(#REF!=FAListas!#REF!, TRUE,""))</xm:f>
            <x14:dxf>
              <fill>
                <patternFill>
                  <bgColor theme="1"/>
                </patternFill>
              </fill>
            </x14:dxf>
          </x14:cfRule>
          <xm:sqref>F129:F132 E129:E134 E132:F132 E135:F135 E139:F139 E143:F143 E147:F147 E151:F151 E159:F159</xm:sqref>
        </x14:conditionalFormatting>
        <x14:conditionalFormatting xmlns:xm="http://schemas.microsoft.com/office/excel/2006/main">
          <x14:cfRule type="expression" priority="12" id="{6B748255-BD03-44CD-B570-03FD53DC0665}">
            <xm:f>$E$23=FAListas!$C$57</xm:f>
            <x14:dxf>
              <font>
                <color theme="1"/>
              </font>
              <fill>
                <patternFill patternType="solid">
                  <fgColor rgb="FFFF0000"/>
                  <bgColor theme="1"/>
                </patternFill>
              </fill>
            </x14:dxf>
          </x14:cfRule>
          <xm:sqref>F22:G22</xm:sqref>
        </x14:conditionalFormatting>
        <x14:conditionalFormatting xmlns:xm="http://schemas.microsoft.com/office/excel/2006/main">
          <x14:cfRule type="expression" priority="77" id="{F71D15AA-E646-4C52-9A53-84A89EB91CBF}">
            <xm:f>$E$23=FAListas!$C$57</xm:f>
            <x14:dxf>
              <fill>
                <patternFill patternType="solid">
                  <fgColor rgb="FFFF0000"/>
                  <bgColor theme="1"/>
                </patternFill>
              </fill>
            </x14:dxf>
          </x14:cfRule>
          <xm:sqref>F23:G23</xm:sqref>
        </x14:conditionalFormatting>
        <x14:conditionalFormatting xmlns:xm="http://schemas.microsoft.com/office/excel/2006/main">
          <x14:cfRule type="expression" priority="13" id="{3AC061C5-F9F7-455C-A679-04AD4186EFD3}">
            <xm:f>$E$25=FAListas!$C$57</xm:f>
            <x14:dxf>
              <font>
                <color theme="1"/>
              </font>
              <fill>
                <patternFill patternType="solid">
                  <fgColor rgb="FFFF0000"/>
                  <bgColor theme="1"/>
                </patternFill>
              </fill>
            </x14:dxf>
          </x14:cfRule>
          <xm:sqref>F24:G24</xm:sqref>
        </x14:conditionalFormatting>
        <x14:conditionalFormatting xmlns:xm="http://schemas.microsoft.com/office/excel/2006/main">
          <x14:cfRule type="expression" priority="51" id="{FE4F0A1A-4392-4026-A1B5-010EF4535E60}">
            <xm:f>$E$25=FAListas!$C$57</xm:f>
            <x14:dxf>
              <fill>
                <patternFill patternType="solid">
                  <fgColor rgb="FFFF0000"/>
                  <bgColor theme="1"/>
                </patternFill>
              </fill>
            </x14:dxf>
          </x14:cfRule>
          <xm:sqref>F25:G25</xm:sqref>
        </x14:conditionalFormatting>
        <x14:conditionalFormatting xmlns:xm="http://schemas.microsoft.com/office/excel/2006/main">
          <x14:cfRule type="expression" priority="11" id="{72FA05CC-47A6-42E8-B573-EF837F5199FE}">
            <xm:f>$E$27=FAListas!$C$57</xm:f>
            <x14:dxf>
              <font>
                <color theme="1"/>
              </font>
              <fill>
                <patternFill patternType="solid">
                  <fgColor rgb="FFFF0000"/>
                  <bgColor theme="1"/>
                </patternFill>
              </fill>
            </x14:dxf>
          </x14:cfRule>
          <xm:sqref>F26:G26</xm:sqref>
        </x14:conditionalFormatting>
        <x14:conditionalFormatting xmlns:xm="http://schemas.microsoft.com/office/excel/2006/main">
          <x14:cfRule type="expression" priority="50" id="{182D5287-A916-404B-B73F-86551899E967}">
            <xm:f>$E$27=FAListas!$C$57</xm:f>
            <x14:dxf>
              <fill>
                <patternFill patternType="solid">
                  <fgColor rgb="FFFF0000"/>
                  <bgColor theme="1"/>
                </patternFill>
              </fill>
            </x14:dxf>
          </x14:cfRule>
          <xm:sqref>F27:G27</xm:sqref>
        </x14:conditionalFormatting>
        <x14:conditionalFormatting xmlns:xm="http://schemas.microsoft.com/office/excel/2006/main">
          <x14:cfRule type="expression" priority="10" id="{98110E22-A200-460B-A123-AE773FAF55CA}">
            <xm:f>$E$29=FAListas!$C$57</xm:f>
            <x14:dxf>
              <font>
                <color theme="1"/>
              </font>
              <fill>
                <patternFill patternType="solid">
                  <fgColor indexed="64"/>
                  <bgColor theme="1"/>
                </patternFill>
              </fill>
            </x14:dxf>
          </x14:cfRule>
          <xm:sqref>F28:G28</xm:sqref>
        </x14:conditionalFormatting>
        <x14:conditionalFormatting xmlns:xm="http://schemas.microsoft.com/office/excel/2006/main">
          <x14:cfRule type="expression" priority="49" id="{648F6694-8A7B-45B8-A48B-EE504F47F858}">
            <xm:f>$E$29=FAListas!$C$57</xm:f>
            <x14:dxf>
              <fill>
                <patternFill patternType="solid">
                  <fgColor rgb="FFFF0000"/>
                  <bgColor theme="1"/>
                </patternFill>
              </fill>
            </x14:dxf>
          </x14:cfRule>
          <xm:sqref>F29:G29</xm:sqref>
        </x14:conditionalFormatting>
        <x14:conditionalFormatting xmlns:xm="http://schemas.microsoft.com/office/excel/2006/main">
          <x14:cfRule type="expression" priority="8" id="{E84E192D-28D4-481E-B973-9ED2E49E56C1}">
            <xm:f>$E$31=FAListas!$C$57</xm:f>
            <x14:dxf>
              <font>
                <color theme="1"/>
              </font>
              <fill>
                <patternFill patternType="solid">
                  <fgColor indexed="64"/>
                  <bgColor theme="1"/>
                </patternFill>
              </fill>
            </x14:dxf>
          </x14:cfRule>
          <xm:sqref>F30:G30</xm:sqref>
        </x14:conditionalFormatting>
        <x14:conditionalFormatting xmlns:xm="http://schemas.microsoft.com/office/excel/2006/main">
          <x14:cfRule type="expression" priority="6" id="{F71CA04B-2693-45D1-8DF6-26FED52C4FD1}">
            <xm:f>$E$31=FAListas!$C$57</xm:f>
            <x14:dxf>
              <fill>
                <patternFill patternType="solid">
                  <fgColor rgb="FFFF0000"/>
                  <bgColor theme="1"/>
                </patternFill>
              </fill>
            </x14:dxf>
          </x14:cfRule>
          <xm:sqref>F31:G31</xm:sqref>
        </x14:conditionalFormatting>
        <x14:conditionalFormatting xmlns:xm="http://schemas.microsoft.com/office/excel/2006/main">
          <x14:cfRule type="expression" priority="9" id="{9BC3E580-859B-4194-9750-D7F3C185C5F4}">
            <xm:f>$E$31=FAListas!$C$57</xm:f>
            <x14:dxf>
              <font>
                <color theme="1"/>
              </font>
              <fill>
                <patternFill patternType="solid">
                  <fgColor rgb="FFFF0000"/>
                  <bgColor theme="1"/>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4F2348A-1DB9-49AA-9122-D3B805C140A4}">
          <x14:formula1>
            <xm:f>FAListas!$C$55:$C$57</xm:f>
          </x14:formula1>
          <xm:sqref>E31 E29 E27 E25 E23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8456B-436A-40EA-A681-D87C22F6589C}">
  <dimension ref="A2:Y134"/>
  <sheetViews>
    <sheetView topLeftCell="O8" zoomScale="75" zoomScaleNormal="75" workbookViewId="0">
      <selection activeCell="Y11" sqref="Y11"/>
    </sheetView>
  </sheetViews>
  <sheetFormatPr defaultRowHeight="30" customHeight="1" x14ac:dyDescent="0.25"/>
  <cols>
    <col min="1" max="1" width="11.42578125" bestFit="1" customWidth="1"/>
    <col min="2" max="2" width="47.7109375" customWidth="1"/>
    <col min="3" max="3" width="16.28515625" customWidth="1"/>
    <col min="4" max="4" width="37.85546875" style="1" customWidth="1"/>
    <col min="5" max="5" width="36.7109375" style="1" customWidth="1"/>
    <col min="6" max="6" width="22.7109375" style="1" customWidth="1"/>
    <col min="7" max="8" width="27.7109375" style="1" customWidth="1"/>
    <col min="9" max="9" width="31" style="1" customWidth="1"/>
    <col min="10" max="10" width="20.140625" style="1" customWidth="1"/>
    <col min="11" max="12" width="17.7109375" style="1" customWidth="1"/>
    <col min="13" max="13" width="16.28515625" style="1" customWidth="1"/>
    <col min="14" max="15" width="20.7109375" style="1" customWidth="1"/>
    <col min="16" max="18" width="20.7109375" customWidth="1"/>
    <col min="23" max="23" width="37.5703125" customWidth="1"/>
    <col min="24" max="24" width="51.5703125" customWidth="1"/>
    <col min="25" max="25" width="29.28515625" customWidth="1"/>
  </cols>
  <sheetData>
    <row r="2" spans="1:25" s="121" customFormat="1" ht="30" customHeight="1" x14ac:dyDescent="0.2">
      <c r="A2" s="120" t="s">
        <v>362</v>
      </c>
      <c r="D2" s="122"/>
      <c r="E2" s="122"/>
      <c r="F2" s="122"/>
      <c r="G2" s="122"/>
      <c r="H2" s="122"/>
      <c r="I2" s="122"/>
      <c r="J2" s="122"/>
      <c r="K2" s="122"/>
      <c r="L2" s="122"/>
      <c r="M2" s="122"/>
      <c r="N2" s="122"/>
      <c r="O2" s="122"/>
    </row>
    <row r="3" spans="1:25" s="123" customFormat="1" ht="30" customHeight="1" x14ac:dyDescent="0.2">
      <c r="D3" s="124"/>
      <c r="E3" s="124"/>
      <c r="F3" s="124"/>
      <c r="G3" s="124"/>
      <c r="H3" s="124"/>
      <c r="I3" s="124"/>
      <c r="J3" s="124"/>
      <c r="K3" s="124"/>
      <c r="L3" s="124"/>
      <c r="M3" s="124"/>
      <c r="N3" s="124"/>
      <c r="O3" s="124"/>
    </row>
    <row r="4" spans="1:25" s="125" customFormat="1" ht="30" customHeight="1" x14ac:dyDescent="0.2">
      <c r="B4" s="126" t="s">
        <v>192</v>
      </c>
      <c r="D4" s="127"/>
      <c r="E4" s="127"/>
      <c r="F4" s="127"/>
      <c r="G4" s="127"/>
      <c r="H4" s="127"/>
      <c r="I4" s="127"/>
      <c r="J4" s="127"/>
      <c r="K4" s="127"/>
      <c r="L4" s="127"/>
      <c r="M4" s="127"/>
      <c r="N4" s="127"/>
      <c r="O4" s="127"/>
    </row>
    <row r="5" spans="1:25" s="123" customFormat="1" ht="30" customHeight="1" x14ac:dyDescent="0.2">
      <c r="B5" s="247"/>
      <c r="D5" s="124"/>
      <c r="E5" s="124"/>
      <c r="F5" s="124"/>
      <c r="G5" s="124"/>
      <c r="H5" s="124"/>
      <c r="I5" s="124"/>
      <c r="J5" s="124"/>
      <c r="K5" s="124"/>
      <c r="L5" s="124"/>
      <c r="M5" s="124"/>
      <c r="N5" s="124"/>
      <c r="O5" s="124"/>
    </row>
    <row r="6" spans="1:25" s="123" customFormat="1" ht="30" customHeight="1" x14ac:dyDescent="0.2">
      <c r="B6" s="247"/>
      <c r="D6" s="124"/>
      <c r="E6" s="124"/>
      <c r="F6" s="124"/>
      <c r="G6" s="124" t="s">
        <v>284</v>
      </c>
      <c r="H6" s="124"/>
      <c r="I6" s="124"/>
      <c r="J6" s="124"/>
      <c r="K6" s="124"/>
      <c r="L6" s="124"/>
      <c r="M6" s="124"/>
      <c r="N6" s="124"/>
      <c r="O6" s="124"/>
    </row>
    <row r="7" spans="1:25" s="123" customFormat="1" ht="30" customHeight="1" x14ac:dyDescent="0.2">
      <c r="B7" s="247"/>
      <c r="D7" s="124"/>
      <c r="E7" s="124"/>
      <c r="F7" s="124"/>
      <c r="G7" s="124"/>
      <c r="H7" s="124"/>
      <c r="I7" s="124"/>
      <c r="J7" s="124"/>
      <c r="K7" s="124"/>
      <c r="L7" s="124"/>
      <c r="M7" s="124"/>
      <c r="N7" s="124"/>
      <c r="O7" s="124"/>
    </row>
    <row r="8" spans="1:25" s="123" customFormat="1" ht="30" customHeight="1" x14ac:dyDescent="0.2">
      <c r="B8" s="112" t="s">
        <v>114</v>
      </c>
      <c r="C8" s="111" t="s">
        <v>86</v>
      </c>
      <c r="D8" s="108" t="s">
        <v>126</v>
      </c>
      <c r="E8" s="124"/>
      <c r="F8" s="124"/>
      <c r="G8" s="124"/>
      <c r="H8" s="124"/>
      <c r="I8" s="124"/>
      <c r="J8" s="124"/>
      <c r="K8" s="124"/>
      <c r="L8" s="124"/>
      <c r="M8" s="124"/>
      <c r="N8" s="124"/>
      <c r="O8" s="124"/>
    </row>
    <row r="9" spans="1:25" s="128" customFormat="1" ht="86.45" customHeight="1" x14ac:dyDescent="0.2">
      <c r="B9" s="107" t="s">
        <v>190</v>
      </c>
      <c r="C9" s="109" t="str">
        <f>IFERROR(D9+2,"0")</f>
        <v>0</v>
      </c>
      <c r="D9" s="110" t="str">
        <f>'ID_Identificação do projeto'!C14</f>
        <v>AAAA</v>
      </c>
      <c r="E9" s="101"/>
      <c r="F9" s="112" t="s">
        <v>114</v>
      </c>
      <c r="G9" s="108" t="s">
        <v>912</v>
      </c>
      <c r="H9" s="718"/>
      <c r="I9" s="108" t="s">
        <v>283</v>
      </c>
      <c r="J9" s="108" t="s">
        <v>1223</v>
      </c>
      <c r="K9" s="251" t="s">
        <v>720</v>
      </c>
      <c r="L9" s="151"/>
      <c r="M9" s="108" t="s">
        <v>718</v>
      </c>
      <c r="N9" s="251" t="s">
        <v>886</v>
      </c>
      <c r="O9" s="740"/>
      <c r="P9" s="129"/>
      <c r="Q9" s="129"/>
      <c r="R9" s="129"/>
      <c r="S9" s="129"/>
      <c r="T9" s="129"/>
      <c r="U9" s="129" t="s">
        <v>200</v>
      </c>
      <c r="V9" s="129"/>
      <c r="W9" s="117" t="s">
        <v>20</v>
      </c>
      <c r="X9" s="117" t="s">
        <v>201</v>
      </c>
      <c r="Y9" s="117" t="s">
        <v>251</v>
      </c>
    </row>
    <row r="10" spans="1:25" s="128" customFormat="1" ht="30" customHeight="1" x14ac:dyDescent="0.2">
      <c r="B10" s="107" t="s">
        <v>293</v>
      </c>
      <c r="C10" s="109" t="str">
        <f>'ID_Identificação do projeto'!$C$16</f>
        <v>Selecionar uma opção</v>
      </c>
      <c r="D10" s="110"/>
      <c r="E10" s="101"/>
      <c r="F10" s="340" t="s">
        <v>189</v>
      </c>
      <c r="G10" s="114">
        <f>C21</f>
        <v>0</v>
      </c>
      <c r="H10" s="738"/>
      <c r="I10" s="167">
        <f>C12</f>
        <v>0.107</v>
      </c>
      <c r="J10" s="514">
        <v>0</v>
      </c>
      <c r="K10" s="132">
        <f>IFERROR((G10*I10)/1000,"")</f>
        <v>0</v>
      </c>
      <c r="L10" s="721"/>
      <c r="M10" s="119">
        <v>0</v>
      </c>
      <c r="N10" s="165">
        <f t="shared" ref="N10:N16" si="0">IFERROR(K10+((G10*M10)/1000),"")</f>
        <v>0</v>
      </c>
      <c r="O10" s="347"/>
      <c r="P10" s="129"/>
      <c r="Q10" s="129"/>
      <c r="R10" s="129"/>
      <c r="S10" s="129"/>
      <c r="T10" s="129"/>
      <c r="U10" s="129"/>
      <c r="V10" s="129"/>
      <c r="W10" s="118">
        <v>2025</v>
      </c>
      <c r="X10" s="140">
        <v>165</v>
      </c>
      <c r="Y10" s="106" t="e">
        <f>VLOOKUP(C9,W10:X25,2,FALSE)</f>
        <v>#N/A</v>
      </c>
    </row>
    <row r="11" spans="1:25" s="128" customFormat="1" ht="30" customHeight="1" x14ac:dyDescent="0.2">
      <c r="B11" s="259" t="s">
        <v>142</v>
      </c>
      <c r="C11" s="102" t="str">
        <f>'ID_Identificação do projeto'!$C$18</f>
        <v>Selecionar uma opção</v>
      </c>
      <c r="D11" s="103"/>
      <c r="E11" s="101"/>
      <c r="F11" s="130" t="s">
        <v>377</v>
      </c>
      <c r="G11" s="110">
        <f>IFERROR(C22*C23,"")</f>
        <v>0</v>
      </c>
      <c r="H11" s="719"/>
      <c r="I11" s="167" t="str">
        <f>IFERROR(IF(D13=FAListas!C30, C13,"0"),"")</f>
        <v>0</v>
      </c>
      <c r="J11" s="514" t="str">
        <f>IFERROR(IF(D13=FAListas!C31,$C$12*'Fatores de Emissão'!F17,"0"),"0")</f>
        <v>0</v>
      </c>
      <c r="K11" s="132">
        <f t="shared" ref="K11:K16" si="1">IFERROR(((G11*I11)+(G11*J11))/1000,"")</f>
        <v>0</v>
      </c>
      <c r="L11" s="721"/>
      <c r="M11" s="119">
        <f>'Fatores de Emissão'!G17</f>
        <v>3.0882352941176465E-2</v>
      </c>
      <c r="N11" s="165">
        <f t="shared" si="0"/>
        <v>0</v>
      </c>
      <c r="O11" s="347"/>
      <c r="P11" s="129"/>
      <c r="Q11" s="129"/>
      <c r="R11" s="129"/>
      <c r="S11" s="129"/>
      <c r="T11" s="129"/>
      <c r="U11" s="129"/>
      <c r="V11" s="129"/>
      <c r="W11" s="118">
        <v>2026</v>
      </c>
      <c r="X11" s="140">
        <v>182</v>
      </c>
    </row>
    <row r="12" spans="1:25" s="128" customFormat="1" ht="30" customHeight="1" x14ac:dyDescent="0.2">
      <c r="B12" s="107" t="s">
        <v>203</v>
      </c>
      <c r="C12" s="109">
        <f>TM2_rodovia!F23</f>
        <v>0.107</v>
      </c>
      <c r="D12" s="110" t="str">
        <f>TM2_rodovia!E23</f>
        <v>Fator de emissão GEE (eletricidade) do utilizador (obrigatório)</v>
      </c>
      <c r="E12" s="101"/>
      <c r="F12" s="130" t="s">
        <v>378</v>
      </c>
      <c r="G12" s="110">
        <f>IFERROR(C24*C25,"")</f>
        <v>0</v>
      </c>
      <c r="H12" s="719"/>
      <c r="I12" s="167" t="str">
        <f>IFERROR(IF(D14=FAListas!C33, C14,"0"),"")</f>
        <v>0</v>
      </c>
      <c r="J12" s="514" t="str">
        <f>IFERROR(IF(D14=FAListas!C34,'Fatores de Emissão'!E78,IF(D14=FAListas!C35,'Fatores de Emissão'!E73,"0")),"0")</f>
        <v>0</v>
      </c>
      <c r="K12" s="132">
        <f t="shared" si="1"/>
        <v>0</v>
      </c>
      <c r="L12" s="721"/>
      <c r="M12" s="119">
        <f>'Fatores de Emissão'!I73</f>
        <v>9.273529411764703E-3</v>
      </c>
      <c r="N12" s="165">
        <f t="shared" si="0"/>
        <v>0</v>
      </c>
      <c r="O12" s="162"/>
      <c r="P12" s="129"/>
      <c r="Q12" s="129"/>
      <c r="R12" s="129"/>
      <c r="S12" s="129"/>
      <c r="T12" s="129"/>
      <c r="U12" s="129"/>
      <c r="V12" s="129"/>
      <c r="W12" s="118">
        <v>2027</v>
      </c>
      <c r="X12" s="140">
        <v>199</v>
      </c>
    </row>
    <row r="13" spans="1:25" s="128" customFormat="1" ht="30" customHeight="1" x14ac:dyDescent="0.2">
      <c r="B13" s="107" t="s">
        <v>363</v>
      </c>
      <c r="C13" s="109">
        <f>TM2_rodovia!F25</f>
        <v>0</v>
      </c>
      <c r="D13" s="110" t="str">
        <f>TM2_rodovia!E25</f>
        <v>Selecionar uma opção</v>
      </c>
      <c r="E13" s="101"/>
      <c r="F13" s="130" t="s">
        <v>379</v>
      </c>
      <c r="G13" s="110">
        <f>IFERROR(C26*C27,"")</f>
        <v>0</v>
      </c>
      <c r="H13" s="719"/>
      <c r="I13" s="167" t="str">
        <f>IFERROR(IF(D15=FAListas!$C$37, C15,"0"),"0")</f>
        <v>0</v>
      </c>
      <c r="J13" s="531" t="str">
        <f>IFERROR(IF(D15=FAListas!C38,$C$12*'Fatores de Emissão'!F22,IF(D15=FAListas!C39,$C$12*'Fatores de Emissão'!F27,"0")),"0")</f>
        <v>0</v>
      </c>
      <c r="K13" s="132">
        <f t="shared" si="1"/>
        <v>0</v>
      </c>
      <c r="L13" s="721"/>
      <c r="M13" s="119" t="str" cm="1">
        <f t="array" ref="M13">IFERROR(IF((D15=FAListas!C38,'Fatores de Emissão'!G22,IF(D15=FAListas!C39,'Fatores de Emissão'!G27)),"0"),"0")</f>
        <v>0</v>
      </c>
      <c r="N13" s="165">
        <f t="shared" si="0"/>
        <v>0</v>
      </c>
      <c r="O13" s="162"/>
      <c r="P13" s="129"/>
      <c r="Q13" s="129"/>
      <c r="R13" s="129"/>
      <c r="S13" s="129"/>
      <c r="T13" s="129"/>
      <c r="U13" s="129"/>
      <c r="V13" s="129"/>
      <c r="W13" s="118">
        <v>2028</v>
      </c>
      <c r="X13" s="140">
        <v>216</v>
      </c>
    </row>
    <row r="14" spans="1:25" s="128" customFormat="1" ht="30" customHeight="1" x14ac:dyDescent="0.2">
      <c r="B14" s="107" t="s">
        <v>364</v>
      </c>
      <c r="C14" s="109">
        <f>TM2_rodovia!F26</f>
        <v>0</v>
      </c>
      <c r="D14" s="110" t="str">
        <f>TM2_rodovia!E26</f>
        <v>Selecionar uma opção</v>
      </c>
      <c r="E14" s="101"/>
      <c r="F14" s="130" t="s">
        <v>383</v>
      </c>
      <c r="G14" s="110">
        <f>IFERROR(C28*C29,"")</f>
        <v>0</v>
      </c>
      <c r="H14" s="719"/>
      <c r="I14" s="248" t="str">
        <f>IFERROR(IF(D20=FAListas!$C$41, C16,"0"),"")</f>
        <v>0</v>
      </c>
      <c r="J14" s="514" t="str">
        <f>IFERROR(IF(D16=FAListas!C42,'Fatores de Emissão'!E68,IF(D16=FAListas!C43,'Fatores de Emissão'!E63,"0")),"0")</f>
        <v>0</v>
      </c>
      <c r="K14" s="132">
        <f t="shared" si="1"/>
        <v>0</v>
      </c>
      <c r="L14" s="721"/>
      <c r="M14" s="119">
        <f>'Fatores de Emissão'!I63</f>
        <v>6.4276816608996538E-3</v>
      </c>
      <c r="N14" s="165">
        <f t="shared" si="0"/>
        <v>0</v>
      </c>
      <c r="O14" s="347"/>
      <c r="R14" s="129"/>
      <c r="S14" s="129"/>
      <c r="T14" s="129"/>
      <c r="U14" s="129"/>
      <c r="V14" s="129"/>
      <c r="W14" s="118">
        <v>2029</v>
      </c>
      <c r="X14" s="140">
        <v>233</v>
      </c>
    </row>
    <row r="15" spans="1:25" s="128" customFormat="1" ht="30" customHeight="1" x14ac:dyDescent="0.2">
      <c r="B15" s="107" t="s">
        <v>365</v>
      </c>
      <c r="C15" s="109">
        <f>TM2_rodovia!F28</f>
        <v>0</v>
      </c>
      <c r="D15" s="110" t="str">
        <f>TM2_rodovia!E28</f>
        <v>Selecionar uma opção</v>
      </c>
      <c r="E15" s="101"/>
      <c r="F15" s="130" t="s">
        <v>384</v>
      </c>
      <c r="G15" s="110">
        <f>IFERROR(C30*C31,"")</f>
        <v>0</v>
      </c>
      <c r="H15" s="719"/>
      <c r="I15" s="248" t="str">
        <f>IFERROR(IF(D21=FAListas!$C$45, C17,"0"),"")</f>
        <v>0</v>
      </c>
      <c r="J15" s="514" t="str">
        <f>IFERROR(IF(D17=FAListas!C46,$C$12*'Fatores de Emissão'!F32,IF(D17=FAListas!C47,$C$12*'Fatores de Emissão'!F37,"0")),"0")</f>
        <v>0</v>
      </c>
      <c r="K15" s="132">
        <f t="shared" si="1"/>
        <v>0</v>
      </c>
      <c r="L15" s="721"/>
      <c r="M15" s="119" t="str" cm="1">
        <f t="array" ref="M15">IFERROR(IF((D17=FAListas!#REF!,'Fatores de Emissão'!G32,IF(D17=FAListas!#REF!,'Fatores de Emissão'!G37)),"0"),"0")</f>
        <v>0</v>
      </c>
      <c r="N15" s="165">
        <f t="shared" si="0"/>
        <v>0</v>
      </c>
      <c r="O15" s="347"/>
      <c r="R15" s="129"/>
      <c r="S15" s="129"/>
      <c r="T15" s="129"/>
      <c r="U15" s="129"/>
      <c r="V15" s="129"/>
      <c r="W15" s="118">
        <v>2030</v>
      </c>
      <c r="X15" s="140">
        <v>250</v>
      </c>
    </row>
    <row r="16" spans="1:25" s="128" customFormat="1" ht="30" customHeight="1" x14ac:dyDescent="0.2">
      <c r="B16" s="107" t="s">
        <v>366</v>
      </c>
      <c r="C16" s="109">
        <f>TM2_rodovia!F29</f>
        <v>0</v>
      </c>
      <c r="D16" s="110" t="str">
        <f>TM2_rodovia!E29</f>
        <v>Selecionar uma opção</v>
      </c>
      <c r="E16" s="101"/>
      <c r="F16" s="130" t="s">
        <v>385</v>
      </c>
      <c r="G16" s="344">
        <f>IFERROR(C32*C33,"")</f>
        <v>0</v>
      </c>
      <c r="H16" s="739"/>
      <c r="I16" s="345" t="str">
        <f>IFERROR(IF(D22=FAListas!$C$49, C18,"0"),"")</f>
        <v>0</v>
      </c>
      <c r="J16" s="514" t="str">
        <f>IFERROR(IF(D18=FAListas!C51,'Fatores de Emissão'!E83,IF(D18=FAListas!C50,'Fatores de Emissão'!E88,"0")),"0")</f>
        <v>0</v>
      </c>
      <c r="K16" s="132">
        <f t="shared" si="1"/>
        <v>0</v>
      </c>
      <c r="L16" s="721"/>
      <c r="M16" s="119">
        <f>'Fatores de Emissão'!I83</f>
        <v>3.65E-3</v>
      </c>
      <c r="N16" s="165">
        <f t="shared" si="0"/>
        <v>0</v>
      </c>
      <c r="O16" s="347"/>
      <c r="R16" s="129"/>
      <c r="S16" s="129"/>
      <c r="T16" s="129"/>
      <c r="U16" s="129"/>
      <c r="V16" s="129"/>
      <c r="W16" s="118">
        <v>2031</v>
      </c>
      <c r="X16" s="140">
        <v>278</v>
      </c>
    </row>
    <row r="17" spans="1:24" s="128" customFormat="1" ht="30" customHeight="1" x14ac:dyDescent="0.2">
      <c r="B17" s="107" t="s">
        <v>367</v>
      </c>
      <c r="C17" s="109">
        <f>TM2_rodovia!F31</f>
        <v>0</v>
      </c>
      <c r="D17" s="109" t="str">
        <f>TM2_rodovia!E31</f>
        <v>Selecionar uma opção</v>
      </c>
      <c r="E17" s="101"/>
      <c r="F17" s="346"/>
      <c r="G17" s="102"/>
      <c r="H17" s="102"/>
      <c r="I17" s="347"/>
      <c r="J17" s="168" t="s">
        <v>246</v>
      </c>
      <c r="K17" s="261">
        <f>SUM(K10:K16)</f>
        <v>0</v>
      </c>
      <c r="L17" s="741"/>
      <c r="M17" s="262"/>
      <c r="N17" s="261">
        <f>SUM(N10:N16)</f>
        <v>0</v>
      </c>
      <c r="O17" s="342"/>
      <c r="P17" s="166" t="s">
        <v>249</v>
      </c>
      <c r="R17" s="129"/>
      <c r="S17" s="129"/>
      <c r="T17" s="129"/>
      <c r="U17" s="129"/>
      <c r="V17" s="129"/>
      <c r="W17" s="118">
        <v>2032</v>
      </c>
      <c r="X17" s="140">
        <v>306</v>
      </c>
    </row>
    <row r="18" spans="1:24" s="128" customFormat="1" ht="30" customHeight="1" x14ac:dyDescent="0.2">
      <c r="B18" s="107" t="s">
        <v>368</v>
      </c>
      <c r="C18" s="109">
        <f>TM2_rodovia!F32</f>
        <v>0</v>
      </c>
      <c r="D18" s="109" t="str">
        <f>TM2_rodovia!E32</f>
        <v>Selecionar uma opção</v>
      </c>
      <c r="E18" s="101"/>
      <c r="F18" s="346"/>
      <c r="G18" s="102"/>
      <c r="H18" s="102"/>
      <c r="I18" s="347"/>
      <c r="J18" s="162"/>
      <c r="K18" s="162"/>
      <c r="L18" s="162"/>
      <c r="M18" s="163"/>
      <c r="N18" s="347"/>
      <c r="O18" s="347"/>
      <c r="R18" s="129"/>
      <c r="S18" s="129"/>
      <c r="T18" s="129"/>
      <c r="U18" s="129"/>
      <c r="V18" s="129"/>
      <c r="W18" s="118">
        <v>2033</v>
      </c>
      <c r="X18" s="140">
        <v>334</v>
      </c>
    </row>
    <row r="19" spans="1:24" s="128" customFormat="1" ht="30" customHeight="1" x14ac:dyDescent="0.2">
      <c r="B19" s="107"/>
      <c r="C19" s="109"/>
      <c r="D19" s="110"/>
      <c r="E19" s="101"/>
      <c r="F19" s="160" t="str">
        <f>IFERROR(IF(SUM(F121:F124)=0, "",IF(SUM(F121:F124)&gt;100, "  A soma das TM é superior a 100%. Por favor reveja.", IF(SUM(F121:F124)&lt;100, " A soma das TM é inferior a 100%. Por favor reveja.", ""))),"")</f>
        <v/>
      </c>
      <c r="G19" s="102"/>
      <c r="H19" s="102"/>
      <c r="I19" s="162"/>
      <c r="J19" s="162"/>
      <c r="K19" s="162"/>
      <c r="L19" s="162"/>
      <c r="M19" s="163"/>
      <c r="N19" s="347"/>
      <c r="O19" s="347"/>
      <c r="P19" s="129"/>
      <c r="Q19" s="129"/>
      <c r="R19" s="129"/>
      <c r="S19" s="129"/>
      <c r="T19" s="129"/>
      <c r="U19" s="129"/>
      <c r="V19" s="129"/>
      <c r="W19" s="118">
        <v>2034</v>
      </c>
      <c r="X19" s="140">
        <v>362</v>
      </c>
    </row>
    <row r="20" spans="1:24" s="128" customFormat="1" ht="30" customHeight="1" x14ac:dyDescent="0.2">
      <c r="B20" s="112" t="s">
        <v>114</v>
      </c>
      <c r="C20" s="111" t="s">
        <v>86</v>
      </c>
      <c r="D20" s="108"/>
      <c r="E20" s="101"/>
      <c r="F20" s="160"/>
      <c r="G20" s="102"/>
      <c r="H20" s="102"/>
      <c r="I20" s="161"/>
      <c r="J20" s="341"/>
      <c r="K20" s="342"/>
      <c r="L20" s="342"/>
      <c r="M20" s="343"/>
      <c r="N20" s="342"/>
      <c r="O20" s="342"/>
      <c r="P20" s="166"/>
      <c r="Q20" s="129"/>
      <c r="R20" s="129"/>
      <c r="S20" s="129"/>
      <c r="T20" s="129"/>
      <c r="U20" s="129"/>
      <c r="V20" s="129"/>
      <c r="W20" s="118">
        <v>2035</v>
      </c>
      <c r="X20" s="140">
        <v>390</v>
      </c>
    </row>
    <row r="21" spans="1:24" s="128" customFormat="1" ht="30" customHeight="1" x14ac:dyDescent="0.2">
      <c r="B21" s="169" t="s">
        <v>179</v>
      </c>
      <c r="C21" s="631">
        <f>TM2_rodovia!E44</f>
        <v>0</v>
      </c>
      <c r="D21" s="109"/>
      <c r="E21" s="101"/>
      <c r="F21" s="160"/>
      <c r="G21" s="102"/>
      <c r="H21" s="102"/>
      <c r="I21" s="161"/>
      <c r="J21" s="162"/>
      <c r="K21" s="162"/>
      <c r="L21" s="162"/>
      <c r="M21" s="163"/>
      <c r="N21" s="162"/>
      <c r="O21" s="106"/>
      <c r="P21" s="129"/>
      <c r="Q21" s="129"/>
      <c r="R21" s="129"/>
      <c r="S21" s="129"/>
      <c r="T21" s="129"/>
      <c r="U21" s="129"/>
      <c r="V21" s="129"/>
      <c r="W21" s="118">
        <v>2036</v>
      </c>
      <c r="X21" s="140">
        <v>417</v>
      </c>
    </row>
    <row r="22" spans="1:24" s="128" customFormat="1" ht="30" customHeight="1" x14ac:dyDescent="0.2">
      <c r="A22" s="106" t="s">
        <v>377</v>
      </c>
      <c r="B22" s="107" t="str">
        <f>TM2_rodovia!C46</f>
        <v xml:space="preserve">Nº médio de novos passageiros gerados pelo projeto, num ano típico de funcionamento </v>
      </c>
      <c r="C22" s="631">
        <f>TM2_rodovia!E46</f>
        <v>0</v>
      </c>
      <c r="D22" s="109"/>
      <c r="E22" s="101"/>
      <c r="F22" s="160"/>
      <c r="G22" s="102"/>
      <c r="H22" s="102"/>
      <c r="I22" s="161"/>
      <c r="J22" s="162"/>
      <c r="K22" s="162"/>
      <c r="L22" s="162"/>
      <c r="M22" s="163"/>
      <c r="N22" s="162"/>
      <c r="O22" s="106"/>
      <c r="P22" s="129"/>
      <c r="Q22" s="129"/>
      <c r="R22" s="129"/>
      <c r="S22" s="129"/>
      <c r="T22" s="129"/>
      <c r="U22" s="129"/>
      <c r="V22" s="129"/>
      <c r="W22" s="118">
        <v>2037</v>
      </c>
      <c r="X22" s="140">
        <v>444</v>
      </c>
    </row>
    <row r="23" spans="1:24" s="128" customFormat="1" ht="30" customHeight="1" x14ac:dyDescent="0.2">
      <c r="A23" s="106" t="s">
        <v>377</v>
      </c>
      <c r="B23" s="107" t="str">
        <f>TM2_rodovia!C47</f>
        <v xml:space="preserve">Nº autocarros * Nº de km percorridos por um autocarro, num ano típico de funcionamento  </v>
      </c>
      <c r="C23" s="631">
        <f>TM2_rodovia!E47</f>
        <v>0</v>
      </c>
      <c r="D23" s="109"/>
      <c r="E23" s="101"/>
      <c r="F23" s="160"/>
      <c r="G23" s="102"/>
      <c r="H23" s="102"/>
      <c r="I23" s="161"/>
      <c r="J23" s="102"/>
      <c r="K23" s="102"/>
      <c r="L23" s="102"/>
      <c r="M23" s="102"/>
      <c r="N23" s="102"/>
      <c r="O23" s="106"/>
      <c r="P23" s="129"/>
      <c r="Q23" s="129"/>
      <c r="R23" s="129"/>
      <c r="S23" s="129"/>
      <c r="T23" s="129"/>
      <c r="U23" s="129"/>
      <c r="V23" s="129"/>
      <c r="W23" s="118">
        <v>2038</v>
      </c>
      <c r="X23" s="140">
        <v>471</v>
      </c>
    </row>
    <row r="24" spans="1:24" s="128" customFormat="1" ht="30" customHeight="1" x14ac:dyDescent="0.2">
      <c r="A24" s="102" t="s">
        <v>378</v>
      </c>
      <c r="B24" s="107" t="s">
        <v>308</v>
      </c>
      <c r="C24" s="631">
        <f>TM2_rodovia!E49</f>
        <v>0</v>
      </c>
      <c r="D24" s="109"/>
      <c r="E24" s="101"/>
      <c r="F24" s="160"/>
      <c r="G24" s="102"/>
      <c r="H24" s="102"/>
      <c r="I24" s="161"/>
      <c r="J24" s="102"/>
      <c r="K24" s="102"/>
      <c r="L24" s="102"/>
      <c r="M24" s="102"/>
      <c r="N24" s="102"/>
      <c r="O24" s="106"/>
      <c r="P24" s="129"/>
      <c r="Q24" s="129"/>
      <c r="R24" s="129"/>
      <c r="S24" s="129"/>
      <c r="T24" s="129"/>
      <c r="U24" s="129"/>
      <c r="V24" s="129"/>
      <c r="W24" s="118">
        <v>2039</v>
      </c>
      <c r="X24" s="140">
        <v>498</v>
      </c>
    </row>
    <row r="25" spans="1:24" s="128" customFormat="1" ht="30" customHeight="1" x14ac:dyDescent="0.2">
      <c r="A25" s="102" t="s">
        <v>378</v>
      </c>
      <c r="B25" s="107" t="s">
        <v>315</v>
      </c>
      <c r="C25" s="631">
        <f>TM2_rodovia!E50</f>
        <v>0</v>
      </c>
      <c r="D25" s="109"/>
      <c r="E25" s="101"/>
      <c r="F25" s="160"/>
      <c r="G25" s="102"/>
      <c r="H25" s="102"/>
      <c r="I25" s="161"/>
      <c r="J25" s="102"/>
      <c r="K25" s="102"/>
      <c r="L25" s="102"/>
      <c r="M25" s="102"/>
      <c r="N25" s="102"/>
      <c r="O25" s="106"/>
      <c r="P25" s="129"/>
      <c r="Q25" s="129"/>
      <c r="R25" s="129"/>
      <c r="S25" s="129"/>
      <c r="T25" s="129"/>
      <c r="U25" s="129"/>
      <c r="V25" s="129"/>
      <c r="W25" s="118">
        <v>2040</v>
      </c>
      <c r="X25" s="140">
        <v>325</v>
      </c>
    </row>
    <row r="26" spans="1:24" s="128" customFormat="1" ht="30" customHeight="1" x14ac:dyDescent="0.2">
      <c r="A26" s="106" t="s">
        <v>379</v>
      </c>
      <c r="B26" s="107" t="s">
        <v>308</v>
      </c>
      <c r="C26" s="631">
        <f>TM2_rodovia!E52</f>
        <v>0</v>
      </c>
      <c r="D26" s="109"/>
      <c r="E26" s="101"/>
      <c r="F26" s="101"/>
      <c r="G26" s="130"/>
      <c r="H26" s="130"/>
      <c r="I26" s="101"/>
      <c r="J26" s="106"/>
      <c r="K26" s="106"/>
      <c r="L26" s="106"/>
      <c r="M26" s="106"/>
      <c r="N26" s="106"/>
      <c r="O26" s="106"/>
      <c r="P26" s="129"/>
      <c r="Q26" s="129"/>
      <c r="R26" s="129"/>
      <c r="S26" s="129"/>
      <c r="T26" s="129"/>
      <c r="U26" s="129"/>
      <c r="V26" s="129"/>
      <c r="W26" s="118"/>
      <c r="X26" s="140"/>
    </row>
    <row r="27" spans="1:24" s="128" customFormat="1" ht="30" customHeight="1" x14ac:dyDescent="0.2">
      <c r="A27" s="106" t="s">
        <v>379</v>
      </c>
      <c r="B27" s="107" t="s">
        <v>315</v>
      </c>
      <c r="C27" s="631">
        <f>TM2_rodovia!E53</f>
        <v>0</v>
      </c>
      <c r="D27" s="109"/>
      <c r="E27" s="101"/>
      <c r="F27" s="101"/>
      <c r="G27" s="130"/>
      <c r="H27" s="130"/>
      <c r="I27" s="101"/>
      <c r="J27" s="106"/>
      <c r="K27" s="106"/>
      <c r="L27" s="106"/>
      <c r="M27" s="106"/>
      <c r="N27" s="106"/>
      <c r="O27" s="106"/>
      <c r="P27" s="129"/>
      <c r="Q27" s="129"/>
      <c r="R27" s="129"/>
      <c r="S27" s="129"/>
      <c r="T27" s="129"/>
      <c r="U27" s="129"/>
      <c r="V27" s="129"/>
      <c r="W27" s="118"/>
      <c r="X27" s="140"/>
    </row>
    <row r="28" spans="1:24" s="128" customFormat="1" ht="30" customHeight="1" x14ac:dyDescent="0.2">
      <c r="A28" s="102" t="s">
        <v>383</v>
      </c>
      <c r="B28" s="107" t="s">
        <v>308</v>
      </c>
      <c r="C28" s="631">
        <f>TM2_rodovia!E55</f>
        <v>0</v>
      </c>
      <c r="D28" s="109"/>
      <c r="E28" s="101"/>
      <c r="F28" s="101"/>
      <c r="G28" s="130"/>
      <c r="H28" s="130"/>
      <c r="I28" s="101"/>
      <c r="J28" s="106"/>
      <c r="K28" s="106"/>
      <c r="L28" s="106"/>
      <c r="M28" s="106"/>
      <c r="N28" s="106"/>
      <c r="O28" s="106"/>
      <c r="P28" s="129"/>
      <c r="Q28" s="129"/>
      <c r="R28" s="129"/>
      <c r="S28" s="129"/>
      <c r="T28" s="129"/>
      <c r="U28" s="129"/>
      <c r="V28" s="129"/>
      <c r="W28" s="118"/>
      <c r="X28" s="140"/>
    </row>
    <row r="29" spans="1:24" s="128" customFormat="1" ht="30" customHeight="1" x14ac:dyDescent="0.2">
      <c r="A29" s="102" t="s">
        <v>383</v>
      </c>
      <c r="B29" s="107" t="s">
        <v>315</v>
      </c>
      <c r="C29" s="631">
        <f>TM2_rodovia!E56</f>
        <v>0</v>
      </c>
      <c r="D29" s="109"/>
      <c r="E29" s="101"/>
      <c r="F29" s="101"/>
      <c r="G29" s="130"/>
      <c r="H29" s="130"/>
      <c r="I29" s="101"/>
      <c r="J29" s="106"/>
      <c r="K29" s="106"/>
      <c r="L29" s="106"/>
      <c r="M29" s="106"/>
      <c r="N29" s="106"/>
      <c r="O29" s="106"/>
      <c r="P29" s="129"/>
      <c r="Q29" s="129"/>
      <c r="R29" s="129"/>
      <c r="S29" s="129"/>
      <c r="T29" s="129"/>
      <c r="U29" s="129"/>
      <c r="V29" s="129"/>
      <c r="W29" s="118"/>
      <c r="X29" s="140"/>
    </row>
    <row r="30" spans="1:24" s="128" customFormat="1" ht="30" customHeight="1" x14ac:dyDescent="0.2">
      <c r="A30" s="106" t="s">
        <v>380</v>
      </c>
      <c r="B30" s="107" t="s">
        <v>308</v>
      </c>
      <c r="C30" s="631">
        <f>TM2_rodovia!E58</f>
        <v>0</v>
      </c>
      <c r="D30" s="109"/>
      <c r="E30" s="106"/>
      <c r="F30" s="106"/>
      <c r="G30" s="106"/>
      <c r="H30" s="106"/>
      <c r="I30" s="106"/>
      <c r="J30" s="106"/>
      <c r="K30" s="106"/>
      <c r="L30" s="106"/>
      <c r="M30" s="106"/>
      <c r="N30" s="106"/>
      <c r="O30" s="106"/>
      <c r="P30" s="129"/>
      <c r="Q30" s="129"/>
      <c r="R30" s="129"/>
      <c r="S30" s="129"/>
      <c r="T30" s="129"/>
      <c r="U30" s="129"/>
      <c r="V30" s="129"/>
      <c r="W30" s="118"/>
      <c r="X30" s="140"/>
    </row>
    <row r="31" spans="1:24" s="128" customFormat="1" ht="30" customHeight="1" x14ac:dyDescent="0.2">
      <c r="A31" s="102" t="s">
        <v>380</v>
      </c>
      <c r="B31" s="107" t="s">
        <v>315</v>
      </c>
      <c r="C31" s="631">
        <f>TM2_rodovia!E59</f>
        <v>0</v>
      </c>
      <c r="D31" s="109"/>
      <c r="E31" s="106"/>
      <c r="F31" s="106"/>
      <c r="G31" s="106"/>
      <c r="H31" s="106"/>
      <c r="I31" s="106"/>
      <c r="J31" s="106"/>
      <c r="K31" s="106"/>
      <c r="L31" s="106"/>
      <c r="M31" s="106"/>
      <c r="N31" s="106"/>
      <c r="O31" s="106"/>
      <c r="W31" s="118"/>
      <c r="X31" s="140"/>
    </row>
    <row r="32" spans="1:24" s="128" customFormat="1" ht="30" customHeight="1" x14ac:dyDescent="0.2">
      <c r="A32" s="106" t="s">
        <v>381</v>
      </c>
      <c r="B32" s="107" t="s">
        <v>308</v>
      </c>
      <c r="C32" s="631">
        <f>TM2_rodovia!E61</f>
        <v>0</v>
      </c>
      <c r="D32" s="109"/>
      <c r="E32" s="106"/>
      <c r="F32" s="106"/>
      <c r="G32" s="106"/>
      <c r="H32" s="106"/>
      <c r="I32" s="106"/>
      <c r="J32" s="106"/>
      <c r="K32" s="106"/>
      <c r="L32" s="106"/>
      <c r="M32" s="106"/>
      <c r="N32" s="106"/>
      <c r="O32" s="106"/>
      <c r="W32" s="118"/>
      <c r="X32" s="140"/>
    </row>
    <row r="33" spans="1:15" s="123" customFormat="1" ht="30" customHeight="1" x14ac:dyDescent="0.2">
      <c r="A33" s="102" t="s">
        <v>381</v>
      </c>
      <c r="B33" s="107" t="s">
        <v>315</v>
      </c>
      <c r="C33" s="631">
        <f>TM2_rodovia!E62</f>
        <v>0</v>
      </c>
      <c r="D33" s="109"/>
      <c r="E33" s="124"/>
      <c r="F33" s="124"/>
      <c r="G33" s="124"/>
      <c r="H33" s="124"/>
      <c r="I33" s="124"/>
      <c r="J33" s="124"/>
      <c r="K33" s="124"/>
      <c r="L33" s="124"/>
      <c r="M33" s="124"/>
      <c r="N33" s="124"/>
      <c r="O33" s="124"/>
    </row>
    <row r="34" spans="1:15" s="123" customFormat="1" ht="30" customHeight="1" x14ac:dyDescent="0.2">
      <c r="D34" s="124"/>
      <c r="E34" s="124"/>
      <c r="F34" s="124"/>
      <c r="G34" s="124"/>
      <c r="H34" s="124"/>
      <c r="I34" s="124"/>
      <c r="J34" s="124"/>
      <c r="K34" s="124"/>
      <c r="L34" s="124"/>
      <c r="M34" s="124"/>
      <c r="N34" s="124"/>
      <c r="O34" s="124"/>
    </row>
    <row r="35" spans="1:15" s="121" customFormat="1" ht="30" customHeight="1" x14ac:dyDescent="0.2">
      <c r="B35" s="120" t="s">
        <v>382</v>
      </c>
      <c r="D35" s="122"/>
      <c r="E35" s="122"/>
      <c r="F35" s="122"/>
      <c r="G35" s="122"/>
      <c r="H35" s="122"/>
      <c r="I35" s="122"/>
      <c r="J35" s="122"/>
      <c r="K35" s="122"/>
      <c r="L35" s="122"/>
      <c r="M35" s="122"/>
      <c r="N35" s="122"/>
      <c r="O35" s="122"/>
    </row>
    <row r="36" spans="1:15" s="175" customFormat="1" ht="30" customHeight="1" x14ac:dyDescent="0.2">
      <c r="B36" s="176"/>
      <c r="D36" s="177"/>
      <c r="E36" s="177"/>
      <c r="F36" s="177"/>
      <c r="G36" s="177"/>
      <c r="H36" s="177"/>
      <c r="I36" s="177"/>
      <c r="J36" s="177"/>
      <c r="K36" s="177"/>
      <c r="L36" s="177"/>
      <c r="M36" s="177"/>
      <c r="N36" s="177"/>
      <c r="O36" s="177"/>
    </row>
    <row r="37" spans="1:15" s="175" customFormat="1" ht="30" customHeight="1" x14ac:dyDescent="0.2">
      <c r="B37" s="176" t="s">
        <v>252</v>
      </c>
      <c r="D37" s="177"/>
      <c r="E37" s="177"/>
      <c r="F37" s="177"/>
      <c r="G37" s="177"/>
      <c r="H37" s="177"/>
      <c r="I37" s="177"/>
      <c r="J37" s="177"/>
      <c r="K37" s="177"/>
      <c r="L37" s="177"/>
      <c r="M37" s="177"/>
      <c r="N37" s="177"/>
      <c r="O37" s="177"/>
    </row>
    <row r="38" spans="1:15" s="175" customFormat="1" ht="30" customHeight="1" x14ac:dyDescent="0.2">
      <c r="B38" s="176"/>
      <c r="D38" s="177"/>
      <c r="E38" s="177"/>
      <c r="F38" s="177"/>
      <c r="G38" s="177"/>
      <c r="H38" s="177"/>
      <c r="I38" s="177"/>
      <c r="J38" s="177"/>
      <c r="K38" s="177"/>
      <c r="L38" s="177"/>
      <c r="M38" s="177"/>
      <c r="N38" s="177"/>
      <c r="O38" s="177"/>
    </row>
    <row r="39" spans="1:15" s="175" customFormat="1" ht="30" customHeight="1" x14ac:dyDescent="0.2">
      <c r="B39" s="120" t="s">
        <v>285</v>
      </c>
      <c r="C39" s="179" t="s">
        <v>77</v>
      </c>
      <c r="D39" s="122" t="s">
        <v>440</v>
      </c>
      <c r="E39" s="122" t="s">
        <v>256</v>
      </c>
      <c r="F39" s="177"/>
      <c r="G39" s="353" t="s">
        <v>286</v>
      </c>
      <c r="H39" s="354" t="s">
        <v>77</v>
      </c>
      <c r="I39" s="142" t="s">
        <v>291</v>
      </c>
      <c r="J39" s="142" t="s">
        <v>256</v>
      </c>
      <c r="K39" s="177"/>
      <c r="L39" s="177"/>
      <c r="M39" s="177"/>
      <c r="N39" s="177"/>
      <c r="O39" s="177"/>
    </row>
    <row r="40" spans="1:15" s="175" customFormat="1" ht="30" customHeight="1" x14ac:dyDescent="0.2">
      <c r="B40" s="176" t="s">
        <v>125</v>
      </c>
      <c r="C40" s="178">
        <v>0.55000000000000004</v>
      </c>
      <c r="D40" s="180">
        <f>'Fatores de Emissão'!E99</f>
        <v>0.12029271250000002</v>
      </c>
      <c r="E40" s="181">
        <f t="shared" ref="E40:E45" si="2">C40*D40</f>
        <v>6.6160991875000019E-2</v>
      </c>
      <c r="F40" s="177"/>
      <c r="G40" s="353" t="s">
        <v>125</v>
      </c>
      <c r="H40" s="354">
        <v>0.84</v>
      </c>
      <c r="I40" s="142">
        <f>'Fatores de Emissão'!F63</f>
        <v>8.2966089965397907E-2</v>
      </c>
      <c r="J40" s="143">
        <f>H40*I40</f>
        <v>6.969151557093424E-2</v>
      </c>
      <c r="K40" s="177"/>
      <c r="L40" s="177"/>
      <c r="M40" s="177"/>
      <c r="N40" s="177"/>
      <c r="O40" s="177"/>
    </row>
    <row r="41" spans="1:15" s="175" customFormat="1" ht="30" customHeight="1" x14ac:dyDescent="0.2">
      <c r="B41" s="176" t="s">
        <v>227</v>
      </c>
      <c r="C41" s="178">
        <v>0.38</v>
      </c>
      <c r="D41" s="180">
        <f>'Fatores de Emissão'!E93</f>
        <v>0.12633856874999999</v>
      </c>
      <c r="E41" s="181">
        <f t="shared" si="2"/>
        <v>4.8008656125E-2</v>
      </c>
      <c r="F41" s="177"/>
      <c r="G41" s="353" t="s">
        <v>89</v>
      </c>
      <c r="H41" s="354">
        <v>0.16</v>
      </c>
      <c r="I41" s="142">
        <f>'Fatores de Emissão'!F68</f>
        <v>9.2725951557093414E-2</v>
      </c>
      <c r="J41" s="143">
        <f>H41*I41</f>
        <v>1.4836152249134947E-2</v>
      </c>
      <c r="K41" s="177"/>
      <c r="L41" s="177"/>
      <c r="M41" s="177"/>
      <c r="N41" s="177"/>
      <c r="O41" s="177"/>
    </row>
    <row r="42" spans="1:15" s="175" customFormat="1" ht="30" customHeight="1" x14ac:dyDescent="0.2">
      <c r="B42" s="176" t="s">
        <v>230</v>
      </c>
      <c r="C42" s="178">
        <v>0.01</v>
      </c>
      <c r="D42" s="180">
        <f>'Fatores de Emissão'!E102</f>
        <v>0.119959</v>
      </c>
      <c r="E42" s="181">
        <f t="shared" si="2"/>
        <v>1.1995899999999999E-3</v>
      </c>
      <c r="F42" s="177"/>
      <c r="G42" s="353" t="s">
        <v>246</v>
      </c>
      <c r="H42" s="355"/>
      <c r="I42" s="142"/>
      <c r="J42" s="143">
        <f>SUM(J36:J41)</f>
        <v>8.452766782006918E-2</v>
      </c>
      <c r="K42" s="177"/>
      <c r="L42" s="177"/>
      <c r="M42" s="177"/>
      <c r="N42" s="177"/>
      <c r="O42" s="177"/>
    </row>
    <row r="43" spans="1:15" s="175" customFormat="1" ht="30" customHeight="1" x14ac:dyDescent="0.2">
      <c r="B43" s="176" t="s">
        <v>255</v>
      </c>
      <c r="C43" s="178">
        <v>0.02</v>
      </c>
      <c r="D43" s="180">
        <f>'Fatores de Emissão'!E9</f>
        <v>1.3839724576271188E-2</v>
      </c>
      <c r="E43" s="181">
        <f t="shared" si="2"/>
        <v>2.7679449152542379E-4</v>
      </c>
      <c r="F43" s="177"/>
      <c r="G43" s="177"/>
      <c r="H43" s="177"/>
      <c r="I43" s="177"/>
      <c r="J43" s="177"/>
      <c r="K43" s="177"/>
      <c r="L43" s="177"/>
      <c r="M43" s="177"/>
      <c r="N43" s="177"/>
      <c r="O43" s="177"/>
    </row>
    <row r="44" spans="1:15" s="175" customFormat="1" ht="30" customHeight="1" x14ac:dyDescent="0.2">
      <c r="B44" s="176" t="s">
        <v>254</v>
      </c>
      <c r="C44" s="178">
        <v>0.02</v>
      </c>
      <c r="D44" s="180">
        <f>'Fatores de Emissão'!E96</f>
        <v>8.0156249999999998E-2</v>
      </c>
      <c r="E44" s="181">
        <f t="shared" si="2"/>
        <v>1.6031249999999999E-3</v>
      </c>
      <c r="F44" s="177"/>
      <c r="G44" s="177"/>
      <c r="H44" s="177"/>
      <c r="I44" s="177"/>
      <c r="J44" s="177"/>
      <c r="K44" s="177"/>
      <c r="L44" s="177"/>
      <c r="M44" s="177"/>
      <c r="N44" s="177"/>
      <c r="O44" s="177"/>
    </row>
    <row r="45" spans="1:15" s="175" customFormat="1" ht="30" customHeight="1" x14ac:dyDescent="0.2">
      <c r="B45" s="176" t="s">
        <v>260</v>
      </c>
      <c r="C45" s="178">
        <v>0.02</v>
      </c>
      <c r="D45" s="180">
        <f>'Fatores de Emissão'!E10</f>
        <v>4.4243290960451981E-3</v>
      </c>
      <c r="E45" s="181">
        <f t="shared" si="2"/>
        <v>8.8486581920903967E-5</v>
      </c>
      <c r="F45" s="177"/>
      <c r="G45" s="188" t="s">
        <v>263</v>
      </c>
      <c r="H45" s="186" t="s">
        <v>9</v>
      </c>
      <c r="I45" s="177"/>
      <c r="J45" s="177"/>
      <c r="K45" s="177"/>
      <c r="L45" s="177"/>
      <c r="M45" s="177"/>
      <c r="N45" s="177"/>
      <c r="O45" s="177"/>
    </row>
    <row r="46" spans="1:15" s="175" customFormat="1" ht="30" customHeight="1" x14ac:dyDescent="0.2">
      <c r="B46" s="182" t="s">
        <v>246</v>
      </c>
      <c r="C46" s="183"/>
      <c r="D46" s="184"/>
      <c r="E46" s="185">
        <f>SUM(E40:E45)</f>
        <v>0.11733764407344634</v>
      </c>
      <c r="F46" s="177"/>
      <c r="G46" s="187" t="s">
        <v>205</v>
      </c>
      <c r="H46" s="177" t="e">
        <f>VLOOKUP($C$10,FAListas!$C$20:$D$28,2,FALSE)</f>
        <v>#N/A</v>
      </c>
      <c r="I46" s="177"/>
      <c r="J46" s="177"/>
      <c r="K46" s="177"/>
      <c r="L46" s="177"/>
      <c r="M46" s="177"/>
      <c r="N46" s="177"/>
      <c r="O46" s="177"/>
    </row>
    <row r="47" spans="1:15" s="175" customFormat="1" ht="30" customHeight="1" x14ac:dyDescent="0.2">
      <c r="D47" s="177"/>
      <c r="E47" s="177"/>
      <c r="F47" s="177"/>
      <c r="G47" s="204"/>
      <c r="H47" s="205"/>
      <c r="I47" s="177"/>
      <c r="J47" s="177"/>
      <c r="K47" s="177"/>
      <c r="L47" s="177"/>
      <c r="M47" s="177"/>
      <c r="N47" s="177"/>
      <c r="O47" s="177"/>
    </row>
    <row r="48" spans="1:15" s="175" customFormat="1" ht="30" customHeight="1" x14ac:dyDescent="0.2">
      <c r="D48" s="177"/>
      <c r="E48" s="177"/>
      <c r="F48" s="177"/>
      <c r="G48" s="187" t="s">
        <v>154</v>
      </c>
      <c r="H48" s="177">
        <f>'Fatores de Emissão'!E47</f>
        <v>8.9999999999999993E-3</v>
      </c>
      <c r="I48" s="177"/>
      <c r="J48" s="177"/>
      <c r="K48" s="177"/>
      <c r="L48" s="177"/>
      <c r="M48" s="177"/>
      <c r="N48" s="177"/>
      <c r="O48" s="177"/>
    </row>
    <row r="49" spans="1:18" s="175" customFormat="1" ht="30" customHeight="1" x14ac:dyDescent="0.2">
      <c r="D49" s="177"/>
      <c r="E49" s="177"/>
      <c r="F49" s="177"/>
      <c r="G49" s="187" t="s">
        <v>110</v>
      </c>
      <c r="H49" s="177">
        <v>0</v>
      </c>
      <c r="I49" s="177"/>
      <c r="J49" s="177"/>
      <c r="K49" s="177"/>
      <c r="L49" s="177"/>
      <c r="M49" s="177"/>
      <c r="N49" s="177"/>
      <c r="O49" s="177"/>
    </row>
    <row r="50" spans="1:18" s="175" customFormat="1" ht="30" customHeight="1" x14ac:dyDescent="0.2">
      <c r="D50" s="177"/>
      <c r="E50" s="177"/>
      <c r="F50" s="177"/>
      <c r="G50" s="187"/>
      <c r="H50" s="177"/>
      <c r="I50" s="177"/>
      <c r="J50" s="177"/>
      <c r="K50" s="177"/>
      <c r="L50" s="177"/>
      <c r="M50" s="177"/>
      <c r="N50" s="177"/>
      <c r="O50" s="177"/>
    </row>
    <row r="51" spans="1:18" s="175" customFormat="1" ht="30" customHeight="1" x14ac:dyDescent="0.2">
      <c r="D51" s="177"/>
      <c r="E51" s="177"/>
      <c r="F51" s="177"/>
      <c r="G51" s="187"/>
      <c r="H51" s="177"/>
      <c r="I51" s="177"/>
      <c r="J51" s="177"/>
      <c r="K51" s="177"/>
      <c r="L51" s="177"/>
      <c r="M51" s="177"/>
      <c r="N51" s="177"/>
      <c r="O51" s="177"/>
    </row>
    <row r="52" spans="1:18" s="175" customFormat="1" ht="30" customHeight="1" x14ac:dyDescent="0.5">
      <c r="D52" s="177"/>
      <c r="E52" s="177"/>
      <c r="F52" s="249"/>
      <c r="L52" s="249"/>
      <c r="N52" s="177"/>
      <c r="O52" s="249"/>
      <c r="P52" s="177"/>
      <c r="Q52" s="177"/>
      <c r="R52" s="177"/>
    </row>
    <row r="53" spans="1:18" s="123" customFormat="1" ht="30" customHeight="1" x14ac:dyDescent="0.2">
      <c r="D53" s="209"/>
      <c r="E53" s="124"/>
      <c r="F53" s="124"/>
      <c r="G53" s="124"/>
      <c r="H53" s="124"/>
      <c r="N53" s="209"/>
      <c r="O53" s="124"/>
      <c r="P53" s="124"/>
      <c r="Q53" s="124"/>
      <c r="R53" s="124"/>
    </row>
    <row r="54" spans="1:18" s="123" customFormat="1" ht="49.9" customHeight="1" x14ac:dyDescent="0.2">
      <c r="A54" s="348"/>
      <c r="B54" s="108" t="s">
        <v>264</v>
      </c>
      <c r="C54" s="151"/>
      <c r="D54" s="108" t="s">
        <v>386</v>
      </c>
      <c r="E54" s="108" t="s">
        <v>387</v>
      </c>
      <c r="F54" s="108" t="s">
        <v>388</v>
      </c>
      <c r="G54" s="108" t="s">
        <v>389</v>
      </c>
      <c r="H54" s="108" t="s">
        <v>390</v>
      </c>
      <c r="I54" s="108" t="s">
        <v>391</v>
      </c>
      <c r="J54" s="101"/>
      <c r="K54" s="101"/>
      <c r="L54" s="101"/>
      <c r="M54" s="101"/>
      <c r="N54" s="101"/>
      <c r="O54" s="101"/>
      <c r="P54" s="101"/>
      <c r="Q54" s="101"/>
      <c r="R54" s="101"/>
    </row>
    <row r="55" spans="1:18" s="123" customFormat="1" ht="30" customHeight="1" x14ac:dyDescent="0.2">
      <c r="A55" s="349"/>
      <c r="B55" s="266" t="s">
        <v>262</v>
      </c>
      <c r="C55" s="153"/>
      <c r="D55" s="148">
        <f>IFERROR(TM2_rodovia!E78/100,"0")</f>
        <v>0</v>
      </c>
      <c r="E55" s="148">
        <f>IFERROR(TM2_rodovia!E84/100,"0")</f>
        <v>0</v>
      </c>
      <c r="F55" s="148">
        <f>IFERROR(TM2_rodovia!E90/100,"0")</f>
        <v>0</v>
      </c>
      <c r="G55" s="148">
        <f>IFERROR(TM2_rodovia!E96/100,"0")</f>
        <v>0</v>
      </c>
      <c r="H55" s="148">
        <f>IFERROR(TM2_rodovia!E102/100,"0")</f>
        <v>0</v>
      </c>
      <c r="I55" s="253">
        <f>IFERROR(TM2_rodovia!E108/100,"0")</f>
        <v>0</v>
      </c>
      <c r="J55" s="157"/>
      <c r="K55" s="157"/>
      <c r="L55" s="157"/>
      <c r="M55" s="157"/>
      <c r="N55" s="157"/>
      <c r="O55" s="157"/>
      <c r="P55" s="349"/>
      <c r="Q55" s="349"/>
      <c r="R55" s="349"/>
    </row>
    <row r="56" spans="1:18" s="123" customFormat="1" ht="30" customHeight="1" x14ac:dyDescent="0.2">
      <c r="A56" s="349"/>
      <c r="B56" s="266" t="s">
        <v>205</v>
      </c>
      <c r="C56" s="153"/>
      <c r="D56" s="148">
        <f>IFERROR(TM2_rodovia!E79/100,"0")</f>
        <v>0</v>
      </c>
      <c r="E56" s="148">
        <f>IFERROR(TM2_rodovia!E85/100,"0")</f>
        <v>0</v>
      </c>
      <c r="F56" s="148">
        <f>IFERROR(TM2_rodovia!E91/100,"0")</f>
        <v>0</v>
      </c>
      <c r="G56" s="148">
        <f>IFERROR(TM2_rodovia!E97/100,"0")</f>
        <v>0</v>
      </c>
      <c r="H56" s="148">
        <f>IFERROR(TM2_rodovia!E103/100,"0")</f>
        <v>0</v>
      </c>
      <c r="I56" s="253">
        <f>IFERROR(TM2_rodovia!E109/100,"0")</f>
        <v>0</v>
      </c>
      <c r="J56" s="157"/>
      <c r="K56" s="157"/>
      <c r="L56" s="157"/>
      <c r="M56" s="157"/>
      <c r="N56" s="157"/>
      <c r="O56" s="157"/>
      <c r="P56" s="349"/>
      <c r="Q56" s="349"/>
      <c r="R56" s="349"/>
    </row>
    <row r="57" spans="1:18" s="123" customFormat="1" ht="30" customHeight="1" x14ac:dyDescent="0.2">
      <c r="A57" s="349"/>
      <c r="B57" s="266" t="s">
        <v>154</v>
      </c>
      <c r="C57" s="153"/>
      <c r="D57" s="148">
        <f>IFERROR(TM2_rodovia!E80/100,"0")</f>
        <v>0</v>
      </c>
      <c r="E57" s="148">
        <f>IFERROR(TM2_rodovia!E86/100,"0")</f>
        <v>0</v>
      </c>
      <c r="F57" s="148">
        <f>IFERROR(TM2_rodovia!E92/100,"0")</f>
        <v>0</v>
      </c>
      <c r="G57" s="148">
        <f>IFERROR(TM2_rodovia!E98/100,"0")</f>
        <v>0</v>
      </c>
      <c r="H57" s="148">
        <f>IFERROR(TM2_rodovia!E104/100,"0")</f>
        <v>0</v>
      </c>
      <c r="I57" s="253">
        <f>IFERROR(TM2_rodovia!E110/100,"0")</f>
        <v>0</v>
      </c>
      <c r="J57" s="157"/>
      <c r="K57" s="157"/>
      <c r="L57" s="157"/>
      <c r="M57" s="157"/>
      <c r="N57" s="157"/>
      <c r="O57" s="157"/>
      <c r="P57" s="349"/>
      <c r="Q57" s="349"/>
      <c r="R57" s="349"/>
    </row>
    <row r="58" spans="1:18" s="123" customFormat="1" ht="30" customHeight="1" x14ac:dyDescent="0.2">
      <c r="A58" s="349"/>
      <c r="B58" s="266" t="s">
        <v>110</v>
      </c>
      <c r="C58" s="153"/>
      <c r="D58" s="148">
        <f>IFERROR(TM2_rodovia!E81/100,"0")</f>
        <v>0</v>
      </c>
      <c r="E58" s="148">
        <f>IFERROR(TM2_rodovia!E87/100,"0")</f>
        <v>0</v>
      </c>
      <c r="F58" s="148">
        <f>IFERROR(TM2_rodovia!E93/100,"0")</f>
        <v>0</v>
      </c>
      <c r="G58" s="148">
        <f>IFERROR(TM2_rodovia!E99/100,"0")</f>
        <v>0</v>
      </c>
      <c r="H58" s="148">
        <f>IFERROR(TM2_rodovia!E105/100,"0")</f>
        <v>0</v>
      </c>
      <c r="I58" s="253">
        <f>IFERROR(TM2_rodovia!E111/100,"0")</f>
        <v>0</v>
      </c>
      <c r="J58" s="157"/>
      <c r="K58" s="157"/>
      <c r="L58" s="157"/>
      <c r="M58" s="157"/>
      <c r="N58" s="157"/>
      <c r="O58" s="157"/>
      <c r="P58" s="349"/>
      <c r="Q58" s="349"/>
      <c r="R58" s="349"/>
    </row>
    <row r="59" spans="1:18" s="123" customFormat="1" ht="30" customHeight="1" x14ac:dyDescent="0.2">
      <c r="B59" s="252"/>
      <c r="C59" s="153"/>
      <c r="D59" s="253"/>
      <c r="E59" s="253"/>
      <c r="F59" s="253"/>
      <c r="G59" s="253"/>
      <c r="H59" s="253"/>
      <c r="I59" s="252"/>
      <c r="J59" s="141"/>
      <c r="K59" s="141"/>
      <c r="L59" s="141"/>
      <c r="M59" s="141"/>
      <c r="N59" s="124"/>
      <c r="O59" s="124"/>
    </row>
    <row r="60" spans="1:18" s="123" customFormat="1" ht="68.45" customHeight="1" x14ac:dyDescent="0.2">
      <c r="B60" s="171" t="s">
        <v>393</v>
      </c>
      <c r="C60" s="172"/>
      <c r="D60" s="108" t="s">
        <v>399</v>
      </c>
      <c r="E60" s="108" t="s">
        <v>398</v>
      </c>
      <c r="F60" s="108" t="s">
        <v>397</v>
      </c>
      <c r="G60" s="108" t="s">
        <v>396</v>
      </c>
      <c r="H60" s="108" t="s">
        <v>394</v>
      </c>
      <c r="I60" s="108" t="s">
        <v>395</v>
      </c>
      <c r="J60" s="101"/>
      <c r="K60" s="101"/>
      <c r="L60" s="101"/>
      <c r="M60" s="101"/>
      <c r="N60" s="101"/>
      <c r="O60" s="101"/>
    </row>
    <row r="61" spans="1:18" s="123" customFormat="1" ht="30" customHeight="1" x14ac:dyDescent="0.2">
      <c r="B61" s="144" t="s">
        <v>262</v>
      </c>
      <c r="C61" s="146"/>
      <c r="D61" s="144">
        <f>IFERROR($G$11*D55,"0")</f>
        <v>0</v>
      </c>
      <c r="E61" s="144">
        <f>IFERROR($G$12*E55,"0")</f>
        <v>0</v>
      </c>
      <c r="F61" s="144">
        <f>IFERROR($G$13*F55,"0")</f>
        <v>0</v>
      </c>
      <c r="G61" s="144">
        <f>IFERROR($G$14*G55,"0")</f>
        <v>0</v>
      </c>
      <c r="H61" s="144">
        <f>IFERROR($G$15*H55,"0")</f>
        <v>0</v>
      </c>
      <c r="I61" s="252">
        <f>IFERROR($G$16*I55,"0")</f>
        <v>0</v>
      </c>
      <c r="J61" s="141"/>
      <c r="K61" s="141"/>
      <c r="L61" s="141"/>
      <c r="M61" s="141"/>
      <c r="N61" s="141"/>
      <c r="O61" s="141"/>
    </row>
    <row r="62" spans="1:18" s="123" customFormat="1" ht="30" customHeight="1" x14ac:dyDescent="0.2">
      <c r="B62" s="144" t="s">
        <v>205</v>
      </c>
      <c r="C62" s="149"/>
      <c r="D62" s="144">
        <f>IFERROR($G$11*D56,"0")</f>
        <v>0</v>
      </c>
      <c r="E62" s="144">
        <f>IFERROR($G$12*E56,"0")</f>
        <v>0</v>
      </c>
      <c r="F62" s="144">
        <f>IFERROR($G$13*F56,"0")</f>
        <v>0</v>
      </c>
      <c r="G62" s="144">
        <f>IFERROR($G$14*G56,"0")</f>
        <v>0</v>
      </c>
      <c r="H62" s="144">
        <f>IFERROR($G$15*H56,"0")</f>
        <v>0</v>
      </c>
      <c r="I62" s="252">
        <f>IFERROR($G$16*I56,"0")</f>
        <v>0</v>
      </c>
      <c r="J62" s="141"/>
      <c r="K62" s="141"/>
      <c r="L62" s="141"/>
      <c r="M62" s="141"/>
      <c r="N62" s="141"/>
      <c r="O62" s="141"/>
    </row>
    <row r="63" spans="1:18" s="123" customFormat="1" ht="30" customHeight="1" x14ac:dyDescent="0.2">
      <c r="B63" s="144" t="s">
        <v>154</v>
      </c>
      <c r="C63" s="149"/>
      <c r="D63" s="144">
        <f>IFERROR($G$11*D57,"0")</f>
        <v>0</v>
      </c>
      <c r="E63" s="144">
        <f>IFERROR($G$12*E57,"0")</f>
        <v>0</v>
      </c>
      <c r="F63" s="144">
        <f>IFERROR($G$13*F57,"0")</f>
        <v>0</v>
      </c>
      <c r="G63" s="144">
        <f>IFERROR($G$14*G57,"0")</f>
        <v>0</v>
      </c>
      <c r="H63" s="144">
        <f>IFERROR($G$15*H57,"0")</f>
        <v>0</v>
      </c>
      <c r="I63" s="252">
        <f>IFERROR($G$16*I57,"0")</f>
        <v>0</v>
      </c>
      <c r="J63" s="141"/>
      <c r="K63" s="141"/>
      <c r="L63" s="141"/>
      <c r="M63" s="141"/>
      <c r="N63" s="141"/>
      <c r="O63" s="141"/>
    </row>
    <row r="64" spans="1:18" s="123" customFormat="1" ht="30" customHeight="1" x14ac:dyDescent="0.2">
      <c r="B64" s="144" t="s">
        <v>307</v>
      </c>
      <c r="C64" s="149"/>
      <c r="D64" s="144">
        <f>IFERROR($G$11*D58,"0")</f>
        <v>0</v>
      </c>
      <c r="E64" s="144">
        <f>IFERROR($G$12*E58,"0")</f>
        <v>0</v>
      </c>
      <c r="F64" s="144">
        <f>IFERROR($G$13*F58,"0")</f>
        <v>0</v>
      </c>
      <c r="G64" s="144">
        <f>IFERROR($G$14*G58,"0")</f>
        <v>0</v>
      </c>
      <c r="H64" s="144">
        <f>IFERROR($G$15*H58,"0")</f>
        <v>0</v>
      </c>
      <c r="I64" s="252">
        <f>IFERROR($G$16*I58,"0")</f>
        <v>0</v>
      </c>
      <c r="J64" s="141"/>
      <c r="K64" s="141"/>
      <c r="L64" s="141"/>
      <c r="M64" s="141"/>
      <c r="N64" s="141"/>
      <c r="O64" s="141"/>
    </row>
    <row r="65" spans="1:15" s="123" customFormat="1" ht="30" customHeight="1" x14ac:dyDescent="0.2">
      <c r="B65" s="156"/>
      <c r="C65" s="149"/>
      <c r="D65" s="124"/>
      <c r="E65" s="124"/>
      <c r="F65" s="124"/>
      <c r="G65" s="124"/>
      <c r="H65" s="124"/>
      <c r="I65" s="124"/>
      <c r="J65" s="124"/>
      <c r="K65" s="124"/>
      <c r="L65" s="124"/>
      <c r="M65" s="124"/>
      <c r="N65" s="124"/>
      <c r="O65" s="124"/>
    </row>
    <row r="66" spans="1:15" s="123" customFormat="1" ht="60" customHeight="1" x14ac:dyDescent="0.2">
      <c r="B66" s="154" t="s">
        <v>292</v>
      </c>
      <c r="C66" s="155"/>
      <c r="D66" s="108" t="s">
        <v>399</v>
      </c>
      <c r="E66" s="108" t="s">
        <v>398</v>
      </c>
      <c r="F66" s="108" t="s">
        <v>397</v>
      </c>
      <c r="G66" s="108" t="s">
        <v>396</v>
      </c>
      <c r="H66" s="108" t="s">
        <v>394</v>
      </c>
      <c r="I66" s="108" t="s">
        <v>395</v>
      </c>
      <c r="J66" s="101"/>
      <c r="K66" s="101"/>
      <c r="L66" s="101"/>
      <c r="M66" s="101"/>
      <c r="N66" s="101"/>
      <c r="O66" s="101"/>
    </row>
    <row r="67" spans="1:15" s="123" customFormat="1" ht="30" customHeight="1" x14ac:dyDescent="0.2">
      <c r="B67" s="144" t="s">
        <v>262</v>
      </c>
      <c r="C67" s="150"/>
      <c r="D67" s="157">
        <f t="shared" ref="D67:I67" si="3">(D61*$E$46/1000)</f>
        <v>0</v>
      </c>
      <c r="E67" s="157">
        <f t="shared" si="3"/>
        <v>0</v>
      </c>
      <c r="F67" s="157">
        <f t="shared" si="3"/>
        <v>0</v>
      </c>
      <c r="G67" s="157">
        <f t="shared" si="3"/>
        <v>0</v>
      </c>
      <c r="H67" s="157">
        <f t="shared" si="3"/>
        <v>0</v>
      </c>
      <c r="I67" s="157">
        <f t="shared" si="3"/>
        <v>0</v>
      </c>
      <c r="J67" s="157"/>
      <c r="K67" s="157"/>
      <c r="L67" s="157"/>
      <c r="M67" s="157"/>
      <c r="N67" s="157"/>
      <c r="O67" s="157"/>
    </row>
    <row r="68" spans="1:15" s="123" customFormat="1" ht="30" customHeight="1" x14ac:dyDescent="0.2">
      <c r="A68" s="158"/>
      <c r="B68" s="144" t="s">
        <v>205</v>
      </c>
      <c r="C68" s="150"/>
      <c r="D68" s="157" t="e">
        <f t="shared" ref="D68:I68" si="4">(D62*$H$46/1000)</f>
        <v>#N/A</v>
      </c>
      <c r="E68" s="157" t="e">
        <f t="shared" si="4"/>
        <v>#N/A</v>
      </c>
      <c r="F68" s="157" t="e">
        <f t="shared" si="4"/>
        <v>#N/A</v>
      </c>
      <c r="G68" s="157" t="e">
        <f t="shared" si="4"/>
        <v>#N/A</v>
      </c>
      <c r="H68" s="157" t="e">
        <f t="shared" si="4"/>
        <v>#N/A</v>
      </c>
      <c r="I68" s="157" t="e">
        <f t="shared" si="4"/>
        <v>#N/A</v>
      </c>
      <c r="J68" s="157"/>
      <c r="K68" s="157"/>
      <c r="L68" s="157"/>
      <c r="M68" s="157"/>
      <c r="N68" s="157"/>
      <c r="O68" s="157"/>
    </row>
    <row r="69" spans="1:15" s="123" customFormat="1" ht="30" customHeight="1" x14ac:dyDescent="0.2">
      <c r="B69" s="144" t="s">
        <v>154</v>
      </c>
      <c r="C69" s="150"/>
      <c r="D69" s="157">
        <f t="shared" ref="D69:I69" si="5">(D63*$H$48/1000)</f>
        <v>0</v>
      </c>
      <c r="E69" s="157">
        <f t="shared" si="5"/>
        <v>0</v>
      </c>
      <c r="F69" s="157">
        <f t="shared" si="5"/>
        <v>0</v>
      </c>
      <c r="G69" s="157">
        <f t="shared" si="5"/>
        <v>0</v>
      </c>
      <c r="H69" s="157">
        <f t="shared" si="5"/>
        <v>0</v>
      </c>
      <c r="I69" s="157">
        <f t="shared" si="5"/>
        <v>0</v>
      </c>
      <c r="J69" s="157"/>
      <c r="K69" s="157"/>
      <c r="L69" s="157"/>
      <c r="M69" s="157"/>
      <c r="N69" s="157"/>
      <c r="O69" s="157"/>
    </row>
    <row r="70" spans="1:15" s="123" customFormat="1" ht="30" customHeight="1" x14ac:dyDescent="0.2">
      <c r="B70" s="156" t="s">
        <v>307</v>
      </c>
      <c r="C70" s="150"/>
      <c r="D70" s="157">
        <f t="shared" ref="D70:I70" si="6">(D64*$H$49/1000)</f>
        <v>0</v>
      </c>
      <c r="E70" s="157">
        <f t="shared" si="6"/>
        <v>0</v>
      </c>
      <c r="F70" s="157">
        <f t="shared" si="6"/>
        <v>0</v>
      </c>
      <c r="G70" s="157">
        <f t="shared" si="6"/>
        <v>0</v>
      </c>
      <c r="H70" s="157">
        <f t="shared" si="6"/>
        <v>0</v>
      </c>
      <c r="I70" s="157">
        <f t="shared" si="6"/>
        <v>0</v>
      </c>
      <c r="J70" s="157"/>
      <c r="K70" s="157"/>
      <c r="L70" s="157"/>
      <c r="M70" s="157"/>
      <c r="N70" s="157"/>
      <c r="O70" s="157"/>
    </row>
    <row r="71" spans="1:15" ht="30" customHeight="1" x14ac:dyDescent="0.25">
      <c r="B71" s="250" t="s">
        <v>5</v>
      </c>
      <c r="C71" s="173"/>
      <c r="D71" s="174" t="e">
        <f t="shared" ref="D71:H71" si="7">SUM(D67:D70)</f>
        <v>#N/A</v>
      </c>
      <c r="E71" s="174" t="e">
        <f t="shared" si="7"/>
        <v>#N/A</v>
      </c>
      <c r="F71" s="174" t="e">
        <f t="shared" si="7"/>
        <v>#N/A</v>
      </c>
      <c r="G71" s="174" t="e">
        <f t="shared" si="7"/>
        <v>#N/A</v>
      </c>
      <c r="H71" s="174" t="e">
        <f t="shared" si="7"/>
        <v>#N/A</v>
      </c>
      <c r="I71" s="174" t="e">
        <f>SUM(I67:I70)</f>
        <v>#N/A</v>
      </c>
      <c r="J71" s="189"/>
      <c r="K71" s="189"/>
      <c r="L71" s="189"/>
      <c r="M71" s="189"/>
      <c r="N71" s="189"/>
      <c r="O71" s="189"/>
    </row>
    <row r="72" spans="1:15" ht="48" customHeight="1" x14ac:dyDescent="0.25">
      <c r="B72" s="3"/>
      <c r="C72" s="3"/>
      <c r="D72" s="189"/>
      <c r="E72" s="189"/>
      <c r="F72" s="268" t="s">
        <v>911</v>
      </c>
      <c r="G72" s="269" t="e">
        <f>SUM(D71:I71)</f>
        <v>#N/A</v>
      </c>
      <c r="H72" s="124"/>
      <c r="I72" s="189"/>
      <c r="J72" s="189"/>
      <c r="K72" s="1516"/>
      <c r="L72" s="1516"/>
      <c r="M72" s="361"/>
    </row>
    <row r="73" spans="1:15" ht="30" customHeight="1" x14ac:dyDescent="0.25">
      <c r="B73" s="3"/>
      <c r="C73" s="3"/>
      <c r="D73" s="189"/>
      <c r="E73" s="189"/>
      <c r="F73" s="189"/>
      <c r="G73" s="189"/>
      <c r="H73" s="124"/>
      <c r="I73" s="189"/>
      <c r="J73" s="189"/>
      <c r="K73" s="189"/>
      <c r="L73" s="189"/>
      <c r="M73" s="189"/>
    </row>
    <row r="74" spans="1:15" ht="30" customHeight="1" x14ac:dyDescent="0.25">
      <c r="B74" s="3"/>
      <c r="C74" s="3"/>
      <c r="D74" s="189"/>
      <c r="E74" s="189"/>
      <c r="F74" s="189"/>
      <c r="G74" s="189"/>
      <c r="H74" s="124"/>
      <c r="I74" s="189"/>
      <c r="J74" s="189"/>
      <c r="K74" s="189"/>
      <c r="L74" s="189"/>
      <c r="M74" s="189"/>
    </row>
    <row r="75" spans="1:15" s="190" customFormat="1" ht="70.150000000000006" customHeight="1" x14ac:dyDescent="0.35">
      <c r="B75" s="193" t="s">
        <v>910</v>
      </c>
      <c r="C75" s="191" t="e">
        <f>G72+G102</f>
        <v>#N/A</v>
      </c>
      <c r="D75" s="191"/>
      <c r="E75" s="191"/>
      <c r="F75" s="191"/>
      <c r="G75" s="1515"/>
      <c r="H75" s="1515"/>
      <c r="I75" s="191"/>
      <c r="J75" s="191"/>
      <c r="K75" s="191"/>
      <c r="L75" s="191"/>
      <c r="M75" s="191"/>
      <c r="N75" s="192"/>
      <c r="O75" s="192"/>
    </row>
    <row r="76" spans="1:15" s="194" customFormat="1" ht="30" customHeight="1" x14ac:dyDescent="0.35">
      <c r="B76" s="195"/>
      <c r="C76" s="196"/>
      <c r="D76" s="196"/>
      <c r="E76" s="196"/>
      <c r="F76" s="196"/>
      <c r="G76" s="196"/>
      <c r="H76" s="197"/>
      <c r="I76" s="196"/>
      <c r="J76" s="196"/>
      <c r="K76" s="196"/>
      <c r="L76" s="196"/>
      <c r="M76" s="196"/>
      <c r="N76" s="197"/>
      <c r="O76" s="197"/>
    </row>
    <row r="77" spans="1:15" s="198" customFormat="1" ht="30" customHeight="1" x14ac:dyDescent="0.25">
      <c r="B77" s="202" t="s">
        <v>936</v>
      </c>
      <c r="C77" s="199"/>
      <c r="D77" s="200"/>
      <c r="E77" s="200"/>
      <c r="F77" s="200"/>
      <c r="G77" s="200"/>
      <c r="H77" s="201"/>
      <c r="I77" s="200"/>
      <c r="J77" s="200"/>
      <c r="K77" s="200"/>
      <c r="L77" s="200"/>
      <c r="M77" s="200"/>
      <c r="N77" s="201"/>
      <c r="O77" s="201"/>
    </row>
    <row r="78" spans="1:15" ht="30" customHeight="1" x14ac:dyDescent="0.25">
      <c r="B78" s="3"/>
      <c r="C78" s="3"/>
      <c r="D78" s="189"/>
      <c r="E78" s="189"/>
      <c r="F78" s="189"/>
      <c r="G78" s="189"/>
      <c r="I78" s="189"/>
      <c r="J78" s="189"/>
      <c r="K78" s="189"/>
      <c r="L78" s="189"/>
      <c r="M78" s="189"/>
    </row>
    <row r="79" spans="1:15" ht="30" customHeight="1" x14ac:dyDescent="0.25">
      <c r="B79" s="176" t="s">
        <v>252</v>
      </c>
      <c r="C79" s="175"/>
      <c r="D79" s="177"/>
      <c r="E79" s="177"/>
      <c r="F79" s="177"/>
      <c r="G79" s="177"/>
      <c r="H79" s="177"/>
      <c r="I79" s="177"/>
      <c r="J79" s="177"/>
      <c r="K79" s="189"/>
      <c r="L79" s="189"/>
      <c r="M79" s="189"/>
    </row>
    <row r="80" spans="1:15" ht="30" customHeight="1" x14ac:dyDescent="0.25">
      <c r="B80" s="176"/>
      <c r="C80" s="175"/>
      <c r="D80" s="177"/>
      <c r="E80" s="177"/>
      <c r="F80" s="177"/>
      <c r="G80" s="177"/>
      <c r="H80" s="177"/>
      <c r="I80" s="177"/>
      <c r="J80" s="177"/>
      <c r="K80" s="189"/>
      <c r="L80" s="189"/>
      <c r="M80" s="189"/>
    </row>
    <row r="81" spans="2:15" ht="30" customHeight="1" x14ac:dyDescent="0.25">
      <c r="B81" s="120" t="s">
        <v>253</v>
      </c>
      <c r="C81" s="179" t="s">
        <v>77</v>
      </c>
      <c r="D81" s="122" t="s">
        <v>880</v>
      </c>
      <c r="E81" s="122" t="s">
        <v>256</v>
      </c>
      <c r="F81" s="177"/>
      <c r="G81" s="353" t="s">
        <v>258</v>
      </c>
      <c r="H81" s="354" t="s">
        <v>77</v>
      </c>
      <c r="I81" s="142" t="s">
        <v>259</v>
      </c>
      <c r="J81" s="142" t="s">
        <v>256</v>
      </c>
      <c r="K81" s="189"/>
      <c r="L81" s="189"/>
      <c r="M81" s="189"/>
    </row>
    <row r="82" spans="2:15" ht="30" customHeight="1" x14ac:dyDescent="0.25">
      <c r="B82" s="176" t="s">
        <v>125</v>
      </c>
      <c r="C82" s="178">
        <v>0.55000000000000004</v>
      </c>
      <c r="D82" s="180">
        <f>'Fatores de Emissão'!$I$99</f>
        <v>3.0562499999999999E-2</v>
      </c>
      <c r="E82" s="181">
        <f t="shared" ref="E82:E87" si="8">C82*D82</f>
        <v>1.6809375000000001E-2</v>
      </c>
      <c r="F82" s="177"/>
      <c r="G82" s="353" t="s">
        <v>125</v>
      </c>
      <c r="H82" s="354">
        <v>0.84</v>
      </c>
      <c r="I82" s="142">
        <f>'Fatores de Emissão'!I63</f>
        <v>6.4276816608996538E-3</v>
      </c>
      <c r="J82" s="143">
        <f>H82*I82</f>
        <v>5.3992525951557088E-3</v>
      </c>
      <c r="K82" s="189"/>
      <c r="L82" s="189"/>
      <c r="M82" s="189"/>
    </row>
    <row r="83" spans="2:15" ht="30" customHeight="1" x14ac:dyDescent="0.25">
      <c r="B83" s="176" t="s">
        <v>227</v>
      </c>
      <c r="C83" s="178">
        <v>0.38</v>
      </c>
      <c r="D83" s="180">
        <f>'Fatores de Emissão'!$I$93</f>
        <v>3.0562499999999999E-2</v>
      </c>
      <c r="E83" s="181">
        <f t="shared" si="8"/>
        <v>1.1613749999999999E-2</v>
      </c>
      <c r="F83" s="177"/>
      <c r="G83" s="353" t="s">
        <v>89</v>
      </c>
      <c r="H83" s="354">
        <v>0.16</v>
      </c>
      <c r="I83" s="142">
        <f>'Fatores de Emissão'!I68</f>
        <v>6.2449826989619374E-3</v>
      </c>
      <c r="J83" s="143">
        <f>H83*I83</f>
        <v>9.9919723183390999E-4</v>
      </c>
      <c r="K83" s="189"/>
      <c r="L83" s="189"/>
      <c r="M83" s="189"/>
    </row>
    <row r="84" spans="2:15" ht="30" customHeight="1" x14ac:dyDescent="0.25">
      <c r="B84" s="176" t="s">
        <v>230</v>
      </c>
      <c r="C84" s="178">
        <v>0.01</v>
      </c>
      <c r="D84" s="180">
        <f>'Fatores de Emissão'!$I$102</f>
        <v>3.0562499999999999E-2</v>
      </c>
      <c r="E84" s="181">
        <f t="shared" si="8"/>
        <v>3.0562500000000002E-4</v>
      </c>
      <c r="F84" s="177"/>
      <c r="G84" s="353" t="s">
        <v>246</v>
      </c>
      <c r="H84" s="355"/>
      <c r="I84" s="142"/>
      <c r="J84" s="143">
        <f>SUM(J78:J83)</f>
        <v>6.3984498269896188E-3</v>
      </c>
      <c r="K84" s="189"/>
      <c r="L84" s="189"/>
      <c r="M84" s="189"/>
    </row>
    <row r="85" spans="2:15" ht="30" customHeight="1" x14ac:dyDescent="0.25">
      <c r="B85" s="176" t="s">
        <v>255</v>
      </c>
      <c r="C85" s="178">
        <v>0.02</v>
      </c>
      <c r="D85" s="180">
        <f>'Fatores de Emissão'!$G$9</f>
        <v>8.712499999999998E-2</v>
      </c>
      <c r="E85" s="181">
        <f t="shared" si="8"/>
        <v>1.7424999999999997E-3</v>
      </c>
      <c r="F85" s="177"/>
      <c r="G85" s="177"/>
      <c r="H85" s="177"/>
      <c r="I85" s="177"/>
      <c r="J85" s="177"/>
      <c r="K85" s="189"/>
      <c r="L85" s="189"/>
      <c r="M85" s="189"/>
    </row>
    <row r="86" spans="2:15" ht="30" customHeight="1" x14ac:dyDescent="0.25">
      <c r="B86" s="176" t="s">
        <v>254</v>
      </c>
      <c r="C86" s="178">
        <v>0.02</v>
      </c>
      <c r="D86" s="180">
        <f>'Fatores de Emissão'!$I$96</f>
        <v>3.0562499999999999E-2</v>
      </c>
      <c r="E86" s="181">
        <f t="shared" si="8"/>
        <v>6.1125000000000003E-4</v>
      </c>
      <c r="F86" s="177"/>
      <c r="G86" s="177"/>
      <c r="H86" s="177"/>
      <c r="I86" s="177"/>
      <c r="J86" s="177"/>
      <c r="K86" s="189"/>
      <c r="L86" s="189"/>
      <c r="M86" s="189"/>
    </row>
    <row r="87" spans="2:15" ht="30" customHeight="1" x14ac:dyDescent="0.25">
      <c r="B87" s="176" t="s">
        <v>260</v>
      </c>
      <c r="C87" s="178">
        <v>0.02</v>
      </c>
      <c r="D87" s="180">
        <f>'Fatores de Emissão'!$G$10</f>
        <v>4.5937499999999992E-2</v>
      </c>
      <c r="E87" s="181">
        <f t="shared" si="8"/>
        <v>9.1874999999999986E-4</v>
      </c>
      <c r="F87" s="177"/>
      <c r="G87" s="188" t="s">
        <v>263</v>
      </c>
      <c r="H87" s="186" t="s">
        <v>9</v>
      </c>
      <c r="I87" s="177"/>
      <c r="J87" s="177"/>
      <c r="K87" s="189"/>
      <c r="L87" s="189"/>
      <c r="M87" s="189"/>
    </row>
    <row r="88" spans="2:15" ht="30" customHeight="1" x14ac:dyDescent="0.25">
      <c r="B88" s="182" t="s">
        <v>246</v>
      </c>
      <c r="C88" s="183">
        <f>SUM(C82:C87)</f>
        <v>1</v>
      </c>
      <c r="D88" s="184"/>
      <c r="E88" s="185">
        <f>SUM(E82:E87)</f>
        <v>3.2001250000000002E-2</v>
      </c>
      <c r="F88" s="177"/>
      <c r="G88" s="187" t="s">
        <v>275</v>
      </c>
      <c r="H88" s="177">
        <f>'Fatores de Emissão'!G50</f>
        <v>2E-3</v>
      </c>
      <c r="I88" s="177"/>
      <c r="J88" s="177"/>
      <c r="K88" s="189"/>
      <c r="L88" s="189"/>
      <c r="M88" s="189"/>
    </row>
    <row r="89" spans="2:15" ht="30" customHeight="1" x14ac:dyDescent="0.25">
      <c r="B89" s="175"/>
      <c r="C89" s="175"/>
      <c r="D89" s="177"/>
      <c r="E89" s="177"/>
      <c r="F89" s="177"/>
      <c r="G89" s="204"/>
      <c r="H89" s="270"/>
      <c r="I89" s="177"/>
      <c r="J89" s="177"/>
      <c r="K89" s="189"/>
      <c r="L89" s="189"/>
      <c r="M89" s="189"/>
    </row>
    <row r="90" spans="2:15" ht="30" customHeight="1" x14ac:dyDescent="0.25">
      <c r="B90" s="175"/>
      <c r="C90" s="175"/>
      <c r="D90" s="177"/>
      <c r="E90" s="177"/>
      <c r="F90" s="177"/>
      <c r="G90" s="187" t="s">
        <v>154</v>
      </c>
      <c r="H90" s="177">
        <f>'Fatores de Emissão'!G47</f>
        <v>2E-3</v>
      </c>
      <c r="I90" s="177"/>
      <c r="J90" s="177"/>
      <c r="K90" s="189"/>
      <c r="L90" s="189"/>
      <c r="M90" s="189"/>
    </row>
    <row r="91" spans="2:15" ht="30" customHeight="1" x14ac:dyDescent="0.25">
      <c r="B91" s="175"/>
      <c r="C91" s="175"/>
      <c r="D91" s="177"/>
      <c r="E91" s="177"/>
      <c r="F91" s="177"/>
      <c r="G91" s="187" t="s">
        <v>110</v>
      </c>
      <c r="H91" s="177">
        <v>0</v>
      </c>
      <c r="I91" s="177"/>
      <c r="J91" s="177"/>
      <c r="K91" s="189"/>
      <c r="L91" s="189"/>
      <c r="M91" s="189"/>
    </row>
    <row r="92" spans="2:15" ht="30" customHeight="1" x14ac:dyDescent="0.25">
      <c r="B92" s="175"/>
      <c r="C92" s="175"/>
      <c r="D92" s="177"/>
      <c r="E92" s="177"/>
      <c r="F92" s="177"/>
      <c r="G92" s="187"/>
      <c r="H92" s="177"/>
      <c r="I92" s="177"/>
      <c r="J92" s="177"/>
      <c r="K92" s="189"/>
      <c r="L92" s="189"/>
      <c r="M92" s="189"/>
    </row>
    <row r="93" spans="2:15" ht="30" customHeight="1" x14ac:dyDescent="0.25">
      <c r="B93" s="175"/>
      <c r="C93" s="175"/>
      <c r="D93" s="177"/>
      <c r="E93" s="177"/>
      <c r="F93" s="177"/>
      <c r="G93" s="187"/>
      <c r="H93" s="177"/>
      <c r="I93" s="177"/>
      <c r="J93" s="177"/>
      <c r="K93" s="189"/>
      <c r="L93" s="189"/>
      <c r="M93" s="189"/>
    </row>
    <row r="94" spans="2:15" ht="30" customHeight="1" x14ac:dyDescent="0.25">
      <c r="B94" s="175"/>
      <c r="C94" s="175"/>
      <c r="D94" s="177"/>
      <c r="E94" s="177"/>
      <c r="F94" s="177"/>
      <c r="G94" s="187"/>
      <c r="H94" s="177"/>
      <c r="I94" s="177"/>
      <c r="J94" s="177"/>
      <c r="K94" s="189"/>
      <c r="L94" s="189"/>
      <c r="M94" s="189"/>
    </row>
    <row r="95" spans="2:15" ht="30" customHeight="1" x14ac:dyDescent="0.5">
      <c r="B95" s="175"/>
      <c r="C95" s="175"/>
      <c r="D95" s="177"/>
      <c r="E95" s="177"/>
      <c r="F95" s="351"/>
      <c r="G95" s="352"/>
      <c r="H95" s="175"/>
      <c r="I95" s="175"/>
      <c r="J95" s="175"/>
      <c r="K95" s="175"/>
      <c r="L95" s="249"/>
      <c r="M95" s="175"/>
      <c r="N95" s="177"/>
    </row>
    <row r="96" spans="2:15" ht="49.9" customHeight="1" x14ac:dyDescent="0.25">
      <c r="B96" s="154" t="s">
        <v>292</v>
      </c>
      <c r="C96" s="155"/>
      <c r="D96" s="108" t="s">
        <v>399</v>
      </c>
      <c r="E96" s="108" t="s">
        <v>398</v>
      </c>
      <c r="F96" s="108" t="s">
        <v>397</v>
      </c>
      <c r="G96" s="108" t="s">
        <v>396</v>
      </c>
      <c r="H96" s="108" t="s">
        <v>394</v>
      </c>
      <c r="I96" s="108" t="s">
        <v>395</v>
      </c>
      <c r="J96" s="348"/>
      <c r="K96" s="348"/>
      <c r="L96" s="348"/>
      <c r="M96" s="348"/>
      <c r="N96" s="348"/>
      <c r="O96" s="348"/>
    </row>
    <row r="97" spans="1:15" ht="40.15" customHeight="1" x14ac:dyDescent="0.25">
      <c r="B97" s="144" t="s">
        <v>262</v>
      </c>
      <c r="C97" s="150"/>
      <c r="D97" s="157">
        <f t="shared" ref="D97:I97" si="9">(D61*$E$88/1000)</f>
        <v>0</v>
      </c>
      <c r="E97" s="157">
        <f t="shared" si="9"/>
        <v>0</v>
      </c>
      <c r="F97" s="157">
        <f t="shared" si="9"/>
        <v>0</v>
      </c>
      <c r="G97" s="157">
        <f t="shared" si="9"/>
        <v>0</v>
      </c>
      <c r="H97" s="157">
        <f t="shared" si="9"/>
        <v>0</v>
      </c>
      <c r="I97" s="157">
        <f t="shared" si="9"/>
        <v>0</v>
      </c>
      <c r="J97" s="157"/>
      <c r="K97" s="157"/>
      <c r="L97" s="157"/>
      <c r="M97" s="157"/>
      <c r="N97" s="157"/>
      <c r="O97" s="157"/>
    </row>
    <row r="98" spans="1:15" ht="40.15" customHeight="1" x14ac:dyDescent="0.25">
      <c r="B98" s="144" t="s">
        <v>205</v>
      </c>
      <c r="C98" s="150"/>
      <c r="D98" s="157">
        <f t="shared" ref="D98:I98" si="10">(D62*$H$88/1000)</f>
        <v>0</v>
      </c>
      <c r="E98" s="157">
        <f t="shared" si="10"/>
        <v>0</v>
      </c>
      <c r="F98" s="157">
        <f t="shared" si="10"/>
        <v>0</v>
      </c>
      <c r="G98" s="157">
        <f t="shared" si="10"/>
        <v>0</v>
      </c>
      <c r="H98" s="157">
        <f t="shared" si="10"/>
        <v>0</v>
      </c>
      <c r="I98" s="157">
        <f t="shared" si="10"/>
        <v>0</v>
      </c>
      <c r="J98" s="157"/>
      <c r="K98" s="157"/>
      <c r="L98" s="157"/>
      <c r="M98" s="157"/>
      <c r="N98" s="157"/>
      <c r="O98" s="157"/>
    </row>
    <row r="99" spans="1:15" ht="40.15" customHeight="1" x14ac:dyDescent="0.25">
      <c r="A99" s="101"/>
      <c r="B99" s="144" t="s">
        <v>154</v>
      </c>
      <c r="C99" s="150"/>
      <c r="D99" s="157">
        <f t="shared" ref="D99:I99" si="11">(D63*$H$90/1000)</f>
        <v>0</v>
      </c>
      <c r="E99" s="157">
        <f t="shared" si="11"/>
        <v>0</v>
      </c>
      <c r="F99" s="157">
        <f t="shared" si="11"/>
        <v>0</v>
      </c>
      <c r="G99" s="157">
        <f t="shared" si="11"/>
        <v>0</v>
      </c>
      <c r="H99" s="157">
        <f t="shared" si="11"/>
        <v>0</v>
      </c>
      <c r="I99" s="157">
        <f t="shared" si="11"/>
        <v>0</v>
      </c>
      <c r="J99" s="157"/>
      <c r="K99" s="157"/>
      <c r="L99" s="157"/>
      <c r="M99" s="157"/>
      <c r="N99" s="157"/>
      <c r="O99" s="157"/>
    </row>
    <row r="100" spans="1:15" ht="40.15" customHeight="1" x14ac:dyDescent="0.25">
      <c r="A100" s="141"/>
      <c r="B100" s="156" t="s">
        <v>307</v>
      </c>
      <c r="C100" s="150"/>
      <c r="D100" s="157">
        <f>(D64*$H$91/1000)</f>
        <v>0</v>
      </c>
      <c r="E100" s="157">
        <f>(E64*$H$91/1000)</f>
        <v>0</v>
      </c>
      <c r="F100" s="157">
        <f>((F64*$H$91)/1000)</f>
        <v>0</v>
      </c>
      <c r="G100" s="157">
        <f>(G64*$H$91)/1000</f>
        <v>0</v>
      </c>
      <c r="H100" s="157">
        <f>(H64*$H$91/1000)</f>
        <v>0</v>
      </c>
      <c r="I100" s="157">
        <f>(I64*$H$91/1000)</f>
        <v>0</v>
      </c>
      <c r="J100" s="157"/>
      <c r="K100" s="157"/>
      <c r="L100" s="157"/>
      <c r="M100" s="157"/>
      <c r="N100" s="157"/>
      <c r="O100" s="157"/>
    </row>
    <row r="101" spans="1:15" ht="49.9" customHeight="1" x14ac:dyDescent="0.25">
      <c r="A101" s="349"/>
      <c r="B101" s="250" t="s">
        <v>5</v>
      </c>
      <c r="C101" s="173"/>
      <c r="D101" s="174">
        <f t="shared" ref="D101:I101" si="12">SUM(D97:D100)</f>
        <v>0</v>
      </c>
      <c r="E101" s="174">
        <f t="shared" si="12"/>
        <v>0</v>
      </c>
      <c r="F101" s="174">
        <f t="shared" si="12"/>
        <v>0</v>
      </c>
      <c r="G101" s="174">
        <f>SUM(G97:G100)</f>
        <v>0</v>
      </c>
      <c r="H101" s="174">
        <f t="shared" si="12"/>
        <v>0</v>
      </c>
      <c r="I101" s="174">
        <f t="shared" si="12"/>
        <v>0</v>
      </c>
      <c r="J101" s="189"/>
      <c r="K101" s="189"/>
      <c r="L101" s="189"/>
      <c r="M101" s="189"/>
      <c r="N101" s="189"/>
      <c r="O101" s="189"/>
    </row>
    <row r="102" spans="1:15" ht="49.9" customHeight="1" x14ac:dyDescent="0.25">
      <c r="A102" s="349"/>
      <c r="B102" s="3"/>
      <c r="C102" s="3"/>
      <c r="D102" s="189"/>
      <c r="E102" s="189"/>
      <c r="F102" s="268" t="s">
        <v>782</v>
      </c>
      <c r="G102" s="269">
        <f>SUM(D101:I101)</f>
        <v>0</v>
      </c>
      <c r="H102" s="124"/>
      <c r="I102" s="189"/>
      <c r="J102" s="189"/>
      <c r="K102" s="189"/>
      <c r="L102" s="360"/>
      <c r="M102" s="361"/>
    </row>
    <row r="103" spans="1:15" ht="30" customHeight="1" x14ac:dyDescent="0.25">
      <c r="A103" s="349"/>
      <c r="B103" s="141"/>
      <c r="C103" s="356"/>
      <c r="D103" s="157"/>
      <c r="E103" s="157"/>
      <c r="F103" s="157"/>
      <c r="G103" s="157"/>
      <c r="H103" s="157"/>
      <c r="I103" s="349"/>
      <c r="J103" s="349"/>
      <c r="K103" s="349"/>
      <c r="L103" s="349"/>
      <c r="M103" s="349"/>
    </row>
    <row r="104" spans="1:15" ht="30" customHeight="1" x14ac:dyDescent="0.25">
      <c r="A104" s="349"/>
      <c r="B104" s="141"/>
      <c r="C104" s="356"/>
      <c r="D104" s="157"/>
      <c r="E104" s="157"/>
      <c r="F104" s="157"/>
      <c r="G104" s="157"/>
      <c r="H104" s="157"/>
      <c r="I104" s="349"/>
      <c r="J104" s="349"/>
      <c r="K104" s="349"/>
      <c r="L104" s="349"/>
      <c r="M104" s="349"/>
    </row>
    <row r="105" spans="1:15" ht="30" customHeight="1" x14ac:dyDescent="0.25">
      <c r="A105" s="349"/>
      <c r="B105" s="141"/>
      <c r="C105" s="356"/>
      <c r="D105" s="157"/>
      <c r="E105" s="157"/>
      <c r="F105" s="157"/>
      <c r="G105" s="157"/>
      <c r="H105" s="157"/>
      <c r="I105" s="349"/>
      <c r="J105" s="349"/>
      <c r="K105" s="349"/>
      <c r="L105" s="349"/>
      <c r="M105" s="349"/>
    </row>
    <row r="108" spans="1:15" ht="49.9" customHeight="1" x14ac:dyDescent="0.25">
      <c r="B108" s="1517"/>
      <c r="C108" s="1517"/>
      <c r="D108" s="1517"/>
      <c r="E108" s="1517"/>
      <c r="G108" s="1407" t="s">
        <v>282</v>
      </c>
      <c r="H108" s="1407"/>
      <c r="I108" s="1407"/>
      <c r="J108" s="1407"/>
    </row>
    <row r="109" spans="1:15" ht="107.45" customHeight="1" x14ac:dyDescent="0.25">
      <c r="B109" s="223"/>
      <c r="C109" s="211"/>
      <c r="D109" s="211"/>
      <c r="E109" s="211"/>
      <c r="G109" s="277" t="s">
        <v>340</v>
      </c>
      <c r="H109" s="228" t="s">
        <v>3</v>
      </c>
      <c r="I109" s="229" t="s">
        <v>756</v>
      </c>
      <c r="J109" s="229" t="s">
        <v>757</v>
      </c>
    </row>
    <row r="110" spans="1:15" ht="49.9" customHeight="1" x14ac:dyDescent="0.25">
      <c r="B110" s="291"/>
      <c r="C110" s="394"/>
      <c r="D110" s="649"/>
      <c r="E110" s="503"/>
      <c r="G110" s="1481" t="s">
        <v>938</v>
      </c>
      <c r="H110" s="1482"/>
      <c r="I110" s="230"/>
      <c r="J110" s="225"/>
    </row>
    <row r="111" spans="1:15" ht="49.9" customHeight="1" x14ac:dyDescent="0.25">
      <c r="B111" s="291"/>
      <c r="C111" s="394"/>
      <c r="D111" s="503"/>
      <c r="E111" s="503"/>
      <c r="G111" s="335" t="s">
        <v>504</v>
      </c>
      <c r="H111" s="330" t="s">
        <v>359</v>
      </c>
      <c r="I111" s="363" t="e">
        <f>I112-I113</f>
        <v>#N/A</v>
      </c>
      <c r="J111" s="364" t="e">
        <f>J112-J113</f>
        <v>#N/A</v>
      </c>
    </row>
    <row r="112" spans="1:15" ht="49.9" customHeight="1" x14ac:dyDescent="0.25">
      <c r="B112" s="291"/>
      <c r="C112" s="394"/>
      <c r="D112" s="650"/>
      <c r="E112" s="650"/>
      <c r="G112" s="331" t="s">
        <v>334</v>
      </c>
      <c r="H112" s="332" t="s">
        <v>359</v>
      </c>
      <c r="I112" s="371">
        <f>K11+L11</f>
        <v>0</v>
      </c>
      <c r="J112" s="372">
        <f>N11</f>
        <v>0</v>
      </c>
    </row>
    <row r="113" spans="2:10" ht="49.9" customHeight="1" x14ac:dyDescent="0.25">
      <c r="B113" s="291"/>
      <c r="C113" s="394"/>
      <c r="D113" s="503"/>
      <c r="E113" s="503"/>
      <c r="G113" s="333" t="s">
        <v>360</v>
      </c>
      <c r="H113" s="334" t="s">
        <v>359</v>
      </c>
      <c r="I113" s="362" t="e">
        <f>D71</f>
        <v>#N/A</v>
      </c>
      <c r="J113" s="365" t="e">
        <f>I113+D101</f>
        <v>#N/A</v>
      </c>
    </row>
    <row r="114" spans="2:10" ht="49.9" customHeight="1" x14ac:dyDescent="0.25">
      <c r="B114" s="291"/>
      <c r="C114" s="394"/>
      <c r="D114" s="503"/>
      <c r="E114" s="503"/>
      <c r="G114" s="1509" t="s">
        <v>937</v>
      </c>
      <c r="H114" s="1509"/>
      <c r="I114" s="1481"/>
      <c r="J114" s="225"/>
    </row>
    <row r="115" spans="2:10" ht="49.9" customHeight="1" x14ac:dyDescent="0.25">
      <c r="B115" s="291"/>
      <c r="C115" s="307"/>
      <c r="D115" s="503"/>
      <c r="E115" s="503"/>
      <c r="G115" s="335" t="s">
        <v>504</v>
      </c>
      <c r="H115" s="326" t="s">
        <v>353</v>
      </c>
      <c r="I115" s="363" t="e">
        <f>I116-I117</f>
        <v>#N/A</v>
      </c>
      <c r="J115" s="364" t="e">
        <f>J116-J117</f>
        <v>#N/A</v>
      </c>
    </row>
    <row r="116" spans="2:10" ht="49.9" customHeight="1" x14ac:dyDescent="0.25">
      <c r="B116" s="87"/>
      <c r="C116" s="88"/>
      <c r="D116" s="88"/>
      <c r="E116" s="88"/>
      <c r="G116" s="331" t="s">
        <v>334</v>
      </c>
      <c r="H116" s="327" t="s">
        <v>353</v>
      </c>
      <c r="I116" s="371">
        <f>K12</f>
        <v>0</v>
      </c>
      <c r="J116" s="372">
        <f>N12</f>
        <v>0</v>
      </c>
    </row>
    <row r="117" spans="2:10" ht="49.9" customHeight="1" x14ac:dyDescent="0.25">
      <c r="B117" s="1411" t="s">
        <v>778</v>
      </c>
      <c r="C117" s="1407"/>
      <c r="D117" s="1407"/>
      <c r="E117" s="1407"/>
      <c r="G117" s="333" t="s">
        <v>360</v>
      </c>
      <c r="H117" s="328" t="s">
        <v>353</v>
      </c>
      <c r="I117" s="362" t="e">
        <f>E71</f>
        <v>#N/A</v>
      </c>
      <c r="J117" s="365" t="e">
        <f>I117+E101</f>
        <v>#N/A</v>
      </c>
    </row>
    <row r="118" spans="2:10" ht="49.9" customHeight="1" x14ac:dyDescent="0.25">
      <c r="B118" s="231" t="s">
        <v>114</v>
      </c>
      <c r="C118" s="228" t="s">
        <v>3</v>
      </c>
      <c r="D118" s="228" t="s">
        <v>756</v>
      </c>
      <c r="E118" s="228" t="s">
        <v>757</v>
      </c>
      <c r="G118" s="1481" t="s">
        <v>316</v>
      </c>
      <c r="H118" s="1482"/>
      <c r="I118" s="230"/>
      <c r="J118" s="225"/>
    </row>
    <row r="119" spans="2:10" ht="49.9" customHeight="1" x14ac:dyDescent="0.25">
      <c r="B119" s="311" t="s">
        <v>908</v>
      </c>
      <c r="C119" s="312" t="s">
        <v>353</v>
      </c>
      <c r="D119" s="487" t="str">
        <f>IFERROR(D120-D121,"")</f>
        <v/>
      </c>
      <c r="E119" s="492" t="str">
        <f>IFERROR(E120-E121,"")</f>
        <v/>
      </c>
      <c r="G119" s="335" t="s">
        <v>504</v>
      </c>
      <c r="H119" s="326" t="s">
        <v>353</v>
      </c>
      <c r="I119" s="363" t="e">
        <f>I120-I121</f>
        <v>#N/A</v>
      </c>
      <c r="J119" s="364" t="e">
        <f>J120-J121</f>
        <v>#N/A</v>
      </c>
    </row>
    <row r="120" spans="2:10" ht="49.9" customHeight="1" x14ac:dyDescent="0.25">
      <c r="B120" s="313" t="s">
        <v>354</v>
      </c>
      <c r="C120" s="314" t="s">
        <v>353</v>
      </c>
      <c r="D120" s="489">
        <f>IFERROR(K17,"")</f>
        <v>0</v>
      </c>
      <c r="E120" s="493">
        <f>IFERROR(N17,"")</f>
        <v>0</v>
      </c>
      <c r="G120" s="336" t="s">
        <v>334</v>
      </c>
      <c r="H120" s="327" t="s">
        <v>353</v>
      </c>
      <c r="I120" s="371">
        <f>K13</f>
        <v>0</v>
      </c>
      <c r="J120" s="372">
        <f>N13</f>
        <v>0</v>
      </c>
    </row>
    <row r="121" spans="2:10" ht="49.9" customHeight="1" x14ac:dyDescent="0.25">
      <c r="B121" s="316" t="s">
        <v>355</v>
      </c>
      <c r="C121" s="317" t="s">
        <v>353</v>
      </c>
      <c r="D121" s="490" t="str">
        <f>IFERROR(G72,"")</f>
        <v/>
      </c>
      <c r="E121" s="494" t="str">
        <f>IFERROR(C75,"")</f>
        <v/>
      </c>
      <c r="G121" s="337" t="s">
        <v>360</v>
      </c>
      <c r="H121" s="328" t="s">
        <v>353</v>
      </c>
      <c r="I121" s="362" t="e">
        <f>F71</f>
        <v>#N/A</v>
      </c>
      <c r="J121" s="365" t="e">
        <f>I121+F101</f>
        <v>#N/A</v>
      </c>
    </row>
    <row r="122" spans="2:10" ht="49.9" customHeight="1" x14ac:dyDescent="0.25">
      <c r="B122" s="320" t="s">
        <v>441</v>
      </c>
      <c r="C122" s="321" t="s">
        <v>784</v>
      </c>
      <c r="D122" s="488">
        <f>IFERROR(D123/$C$12,"")</f>
        <v>0</v>
      </c>
      <c r="E122" s="495" t="s">
        <v>107</v>
      </c>
      <c r="G122" s="1509" t="s">
        <v>318</v>
      </c>
      <c r="H122" s="1509"/>
      <c r="I122" s="1509"/>
      <c r="J122" s="225"/>
    </row>
    <row r="123" spans="2:10" ht="49.9" customHeight="1" x14ac:dyDescent="0.25">
      <c r="B123" s="320" t="s">
        <v>402</v>
      </c>
      <c r="C123" s="321" t="s">
        <v>353</v>
      </c>
      <c r="D123" s="488">
        <f>IFERROR(K11+K13+K15,"")</f>
        <v>0</v>
      </c>
      <c r="E123" s="495" t="s">
        <v>107</v>
      </c>
      <c r="G123" s="335" t="s">
        <v>504</v>
      </c>
      <c r="H123" s="326" t="s">
        <v>353</v>
      </c>
      <c r="I123" s="363" t="e">
        <f>I124-I125</f>
        <v>#N/A</v>
      </c>
      <c r="J123" s="364" t="e">
        <f>J124-J125</f>
        <v>#N/A</v>
      </c>
    </row>
    <row r="124" spans="2:10" ht="49.9" customHeight="1" x14ac:dyDescent="0.25">
      <c r="B124" s="320" t="s">
        <v>358</v>
      </c>
      <c r="C124" s="323" t="s">
        <v>357</v>
      </c>
      <c r="D124" s="488" t="str">
        <f>IFERROR(D119*$Y$10,"")</f>
        <v/>
      </c>
      <c r="E124" s="496" t="str">
        <f>IFERROR(E119*$Y$10,"")</f>
        <v/>
      </c>
      <c r="G124" s="331" t="s">
        <v>334</v>
      </c>
      <c r="H124" s="327" t="s">
        <v>353</v>
      </c>
      <c r="I124" s="371">
        <f>K14</f>
        <v>0</v>
      </c>
      <c r="J124" s="372">
        <f>N14</f>
        <v>0</v>
      </c>
    </row>
    <row r="125" spans="2:10" ht="49.9" customHeight="1" x14ac:dyDescent="0.25">
      <c r="B125" s="87"/>
      <c r="C125" s="88"/>
      <c r="D125" s="244"/>
      <c r="E125" s="88"/>
      <c r="G125" s="333" t="s">
        <v>360</v>
      </c>
      <c r="H125" s="328" t="s">
        <v>353</v>
      </c>
      <c r="I125" s="362" t="e">
        <f>G71</f>
        <v>#N/A</v>
      </c>
      <c r="J125" s="365" t="e">
        <f>I125+G101</f>
        <v>#N/A</v>
      </c>
    </row>
    <row r="126" spans="2:10" ht="49.9" customHeight="1" x14ac:dyDescent="0.25">
      <c r="B126" s="1517"/>
      <c r="C126" s="1517"/>
      <c r="D126" s="1517"/>
      <c r="E126" s="1517"/>
      <c r="G126" s="1509" t="s">
        <v>317</v>
      </c>
      <c r="H126" s="1509"/>
      <c r="I126" s="1509"/>
      <c r="J126" s="225"/>
    </row>
    <row r="127" spans="2:10" ht="49.9" customHeight="1" x14ac:dyDescent="0.25">
      <c r="B127" s="223"/>
      <c r="C127" s="211"/>
      <c r="D127" s="211"/>
      <c r="E127" s="211"/>
      <c r="G127" s="335" t="s">
        <v>504</v>
      </c>
      <c r="H127" s="326" t="s">
        <v>353</v>
      </c>
      <c r="I127" s="363" t="e">
        <f>I128-I129</f>
        <v>#N/A</v>
      </c>
      <c r="J127" s="364" t="e">
        <f>J128-J129</f>
        <v>#N/A</v>
      </c>
    </row>
    <row r="128" spans="2:10" ht="49.9" customHeight="1" x14ac:dyDescent="0.25">
      <c r="B128" s="291"/>
      <c r="C128" s="394"/>
      <c r="D128" s="503"/>
      <c r="E128" s="503"/>
      <c r="G128" s="331" t="s">
        <v>334</v>
      </c>
      <c r="H128" s="327" t="s">
        <v>353</v>
      </c>
      <c r="I128" s="371">
        <f>K15</f>
        <v>0</v>
      </c>
      <c r="J128" s="372">
        <f>N15</f>
        <v>0</v>
      </c>
    </row>
    <row r="129" spans="2:10" ht="49.9" customHeight="1" x14ac:dyDescent="0.25">
      <c r="B129" s="291"/>
      <c r="C129" s="394"/>
      <c r="D129" s="503"/>
      <c r="E129" s="503"/>
      <c r="G129" s="333" t="s">
        <v>360</v>
      </c>
      <c r="H129" s="328" t="s">
        <v>353</v>
      </c>
      <c r="I129" s="362" t="e">
        <f>H71</f>
        <v>#N/A</v>
      </c>
      <c r="J129" s="365" t="e">
        <f>I129+H101</f>
        <v>#N/A</v>
      </c>
    </row>
    <row r="130" spans="2:10" ht="49.9" customHeight="1" x14ac:dyDescent="0.25">
      <c r="B130" s="291"/>
      <c r="C130" s="394"/>
      <c r="D130" s="650"/>
      <c r="E130" s="650"/>
      <c r="G130" s="1509" t="s">
        <v>476</v>
      </c>
      <c r="H130" s="1509"/>
      <c r="I130" s="1509"/>
      <c r="J130" s="225"/>
    </row>
    <row r="131" spans="2:10" ht="49.9" customHeight="1" x14ac:dyDescent="0.25">
      <c r="B131" s="291"/>
      <c r="C131" s="394"/>
      <c r="D131" s="503"/>
      <c r="E131" s="503"/>
      <c r="G131" s="335" t="s">
        <v>504</v>
      </c>
      <c r="H131" s="326" t="s">
        <v>353</v>
      </c>
      <c r="I131" s="363" t="e">
        <f>I132-I133</f>
        <v>#N/A</v>
      </c>
      <c r="J131" s="364" t="e">
        <f>J132-J133</f>
        <v>#N/A</v>
      </c>
    </row>
    <row r="132" spans="2:10" ht="49.9" customHeight="1" x14ac:dyDescent="0.25">
      <c r="B132" s="291"/>
      <c r="C132" s="394"/>
      <c r="D132" s="503"/>
      <c r="E132" s="503"/>
      <c r="G132" s="331" t="s">
        <v>334</v>
      </c>
      <c r="H132" s="327" t="s">
        <v>353</v>
      </c>
      <c r="I132" s="371">
        <f>K16</f>
        <v>0</v>
      </c>
      <c r="J132" s="372">
        <f>N16</f>
        <v>0</v>
      </c>
    </row>
    <row r="133" spans="2:10" ht="49.9" customHeight="1" x14ac:dyDescent="0.25">
      <c r="B133" s="291"/>
      <c r="C133" s="307"/>
      <c r="D133" s="503"/>
      <c r="E133" s="503"/>
      <c r="G133" s="333" t="s">
        <v>360</v>
      </c>
      <c r="H133" s="328" t="s">
        <v>353</v>
      </c>
      <c r="I133" s="362" t="e">
        <f>I71</f>
        <v>#N/A</v>
      </c>
      <c r="J133" s="365" t="e">
        <f>I133+I101</f>
        <v>#N/A</v>
      </c>
    </row>
    <row r="134" spans="2:10" ht="30" customHeight="1" x14ac:dyDescent="0.25">
      <c r="B134" s="87"/>
      <c r="C134" s="88"/>
      <c r="D134" s="88"/>
      <c r="E134" s="88"/>
    </row>
  </sheetData>
  <mergeCells count="12">
    <mergeCell ref="G126:I126"/>
    <mergeCell ref="G130:I130"/>
    <mergeCell ref="G75:H75"/>
    <mergeCell ref="K72:L72"/>
    <mergeCell ref="B108:E108"/>
    <mergeCell ref="B117:E117"/>
    <mergeCell ref="B126:E126"/>
    <mergeCell ref="G108:J108"/>
    <mergeCell ref="G110:H110"/>
    <mergeCell ref="G114:I114"/>
    <mergeCell ref="G118:H118"/>
    <mergeCell ref="G122:I122"/>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820" id="{408F04AD-3C8B-4021-AF3E-3554B7DF00F4}">
            <xm:f>IF($E$38=FAListas!$C$6,TRUE, IF($E$38=FAListas!#REF!, TRUE,""))</xm:f>
            <x14:dxf>
              <fill>
                <patternFill>
                  <bgColor theme="1"/>
                </patternFill>
              </fill>
            </x14:dxf>
          </x14:cfRule>
          <xm:sqref>D110:E110 I111:J111 I115:J115 D119:E119 I119:J119 I123:J123 I127:J127 D128:E128 I131:J131</xm:sqref>
        </x14:conditionalFormatting>
        <x14:conditionalFormatting xmlns:xm="http://schemas.microsoft.com/office/excel/2006/main">
          <x14:cfRule type="expression" priority="821" id="{B4E3B7A7-A6AB-4621-99AB-55ADA850BAE9}">
            <xm:f>IF($F$53=FAListas!$C$6,TRUE, IF($F$53=FAListas!#REF!, TRUE,""))</xm:f>
            <x14:dxf>
              <fill>
                <patternFill>
                  <bgColor theme="1"/>
                </patternFill>
              </fill>
            </x14:dxf>
          </x14:cfRule>
          <xm:sqref>D111:E115</xm:sqref>
        </x14:conditionalFormatting>
        <x14:conditionalFormatting xmlns:xm="http://schemas.microsoft.com/office/excel/2006/main">
          <x14:cfRule type="expression" priority="819" id="{5E464B4F-420F-429A-B1CC-18F5A9D7AACD}">
            <xm:f>$F$53=FAListas!#REF!</xm:f>
            <x14:dxf>
              <fill>
                <patternFill>
                  <bgColor theme="1"/>
                </patternFill>
              </fill>
            </x14:dxf>
          </x14:cfRule>
          <xm:sqref>D120:E124 D131:D132 D133:E133</xm:sqref>
        </x14:conditionalFormatting>
        <x14:conditionalFormatting xmlns:xm="http://schemas.microsoft.com/office/excel/2006/main">
          <x14:cfRule type="expression" priority="22" id="{AC4516F6-B1F9-41BE-A1C9-D018045DC410}">
            <xm:f>$E$38=FAListas!$C$6</xm:f>
            <x14:dxf>
              <fill>
                <patternFill>
                  <bgColor theme="1"/>
                </patternFill>
              </fill>
            </x14:dxf>
          </x14:cfRule>
          <xm:sqref>D129:E130 E131:E132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B1AF1-2C79-4B83-9942-18BDBFF8273A}">
  <dimension ref="A2:Y139"/>
  <sheetViews>
    <sheetView topLeftCell="N18" zoomScale="75" zoomScaleNormal="75" workbookViewId="0">
      <pane ySplit="6855" topLeftCell="A133"/>
      <selection activeCell="Y9" sqref="Y9"/>
      <selection pane="bottomLeft" activeCell="D128" sqref="D128"/>
    </sheetView>
  </sheetViews>
  <sheetFormatPr defaultRowHeight="30" customHeight="1" x14ac:dyDescent="0.25"/>
  <cols>
    <col min="1" max="1" width="11.42578125" bestFit="1" customWidth="1"/>
    <col min="2" max="2" width="47.7109375" customWidth="1"/>
    <col min="3" max="3" width="16.28515625" customWidth="1"/>
    <col min="4" max="4" width="37.85546875" style="1" customWidth="1"/>
    <col min="5" max="5" width="36.7109375" style="1" customWidth="1"/>
    <col min="6" max="6" width="22.7109375" style="1" customWidth="1"/>
    <col min="7" max="8" width="27.7109375" style="1" customWidth="1"/>
    <col min="9" max="9" width="31" style="1" customWidth="1"/>
    <col min="10" max="10" width="20.140625" style="1" customWidth="1"/>
    <col min="11" max="12" width="17.7109375" style="1" customWidth="1"/>
    <col min="13" max="13" width="16.28515625" style="1" customWidth="1"/>
    <col min="14" max="15" width="20.7109375" style="1" customWidth="1"/>
    <col min="16" max="18" width="20.7109375" customWidth="1"/>
    <col min="23" max="23" width="37.5703125" customWidth="1"/>
    <col min="24" max="24" width="51.5703125" customWidth="1"/>
    <col min="25" max="25" width="29.28515625" customWidth="1"/>
  </cols>
  <sheetData>
    <row r="2" spans="1:25" s="121" customFormat="1" ht="30" customHeight="1" x14ac:dyDescent="0.2">
      <c r="A2" s="381" t="s">
        <v>420</v>
      </c>
      <c r="D2" s="122"/>
      <c r="E2" s="122"/>
      <c r="F2" s="122"/>
      <c r="G2" s="122"/>
      <c r="H2" s="122"/>
      <c r="I2" s="122"/>
      <c r="J2" s="122"/>
      <c r="K2" s="122"/>
      <c r="L2" s="122"/>
      <c r="M2" s="122"/>
      <c r="N2" s="122"/>
      <c r="O2" s="122"/>
    </row>
    <row r="3" spans="1:25" s="123" customFormat="1" ht="30" customHeight="1" x14ac:dyDescent="0.2">
      <c r="D3" s="124"/>
      <c r="E3" s="124"/>
      <c r="F3" s="124"/>
      <c r="G3" s="124"/>
      <c r="H3" s="124"/>
      <c r="I3" s="124"/>
      <c r="J3" s="124"/>
      <c r="K3" s="124"/>
      <c r="L3" s="124"/>
      <c r="M3" s="124"/>
      <c r="N3" s="124"/>
      <c r="O3" s="124"/>
    </row>
    <row r="4" spans="1:25" s="125" customFormat="1" ht="30" customHeight="1" x14ac:dyDescent="0.2">
      <c r="B4" s="126" t="s">
        <v>192</v>
      </c>
      <c r="D4" s="127"/>
      <c r="E4" s="127"/>
      <c r="F4" s="127"/>
      <c r="G4" s="127"/>
      <c r="H4" s="127"/>
      <c r="I4" s="127"/>
      <c r="J4" s="127"/>
      <c r="K4" s="127"/>
      <c r="L4" s="127"/>
      <c r="M4" s="127"/>
      <c r="N4" s="127"/>
      <c r="O4" s="127"/>
    </row>
    <row r="5" spans="1:25" s="123" customFormat="1" ht="30" customHeight="1" x14ac:dyDescent="0.2">
      <c r="B5" s="247"/>
      <c r="D5" s="124"/>
      <c r="E5" s="124"/>
      <c r="F5" s="124"/>
      <c r="G5" s="124"/>
      <c r="H5" s="124"/>
      <c r="I5" s="124"/>
      <c r="J5" s="124"/>
      <c r="K5" s="124"/>
      <c r="L5" s="124"/>
      <c r="M5" s="124"/>
      <c r="N5" s="124"/>
      <c r="O5" s="124"/>
    </row>
    <row r="6" spans="1:25" s="123" customFormat="1" ht="30" customHeight="1" x14ac:dyDescent="0.2">
      <c r="B6" s="247"/>
      <c r="D6" s="124"/>
      <c r="E6" s="124"/>
      <c r="F6" s="124"/>
      <c r="G6" s="124" t="s">
        <v>284</v>
      </c>
      <c r="H6" s="124"/>
      <c r="I6" s="124"/>
      <c r="J6" s="124"/>
      <c r="K6" s="124"/>
      <c r="L6" s="124"/>
      <c r="M6" s="124"/>
      <c r="N6" s="124"/>
      <c r="O6" s="124"/>
    </row>
    <row r="7" spans="1:25" s="123" customFormat="1" ht="30" customHeight="1" x14ac:dyDescent="0.2">
      <c r="B7" s="112" t="s">
        <v>114</v>
      </c>
      <c r="C7" s="111" t="s">
        <v>86</v>
      </c>
      <c r="D7" s="108" t="s">
        <v>126</v>
      </c>
      <c r="E7" s="124"/>
      <c r="F7" s="124"/>
      <c r="G7" s="124"/>
      <c r="H7" s="124"/>
      <c r="I7" s="124"/>
      <c r="J7" s="124"/>
      <c r="K7" s="124"/>
      <c r="L7" s="124"/>
      <c r="M7" s="124"/>
      <c r="N7" s="124"/>
      <c r="O7" s="124"/>
    </row>
    <row r="8" spans="1:25" s="128" customFormat="1" ht="46.15" customHeight="1" x14ac:dyDescent="0.2">
      <c r="B8" s="107" t="s">
        <v>190</v>
      </c>
      <c r="C8" s="109" t="str">
        <f>IFERROR(D8+2," ")</f>
        <v xml:space="preserve"> </v>
      </c>
      <c r="D8" s="110" t="str">
        <f>'ID_Identificação do projeto'!C14</f>
        <v>AAAA</v>
      </c>
      <c r="E8" s="101"/>
      <c r="F8" s="621" t="s">
        <v>114</v>
      </c>
      <c r="G8" s="621" t="s">
        <v>781</v>
      </c>
      <c r="H8" s="608"/>
      <c r="I8" s="621" t="s">
        <v>283</v>
      </c>
      <c r="J8" s="621" t="s">
        <v>721</v>
      </c>
      <c r="K8" s="622" t="s">
        <v>720</v>
      </c>
      <c r="L8" s="610"/>
      <c r="M8" s="621" t="s">
        <v>718</v>
      </c>
      <c r="N8" s="622" t="s">
        <v>719</v>
      </c>
      <c r="O8" s="610"/>
      <c r="P8" s="129"/>
      <c r="Q8" s="129"/>
      <c r="R8" s="129"/>
      <c r="S8" s="129"/>
      <c r="T8" s="129"/>
      <c r="U8" s="129" t="s">
        <v>200</v>
      </c>
      <c r="V8" s="129"/>
      <c r="W8" s="117" t="s">
        <v>20</v>
      </c>
      <c r="X8" s="117" t="s">
        <v>201</v>
      </c>
      <c r="Y8" s="117" t="s">
        <v>251</v>
      </c>
    </row>
    <row r="9" spans="1:25" s="128" customFormat="1" ht="30" customHeight="1" x14ac:dyDescent="0.2">
      <c r="B9" s="107" t="s">
        <v>293</v>
      </c>
      <c r="C9" s="109" t="str">
        <f>'ID_Identificação do projeto'!$C$16</f>
        <v>Selecionar uma opção</v>
      </c>
      <c r="D9" s="110"/>
      <c r="E9" s="101"/>
      <c r="F9" s="623" t="s">
        <v>612</v>
      </c>
      <c r="G9" s="624">
        <f>C21</f>
        <v>0</v>
      </c>
      <c r="H9" s="609"/>
      <c r="I9" s="625">
        <f>C11</f>
        <v>0</v>
      </c>
      <c r="J9" s="625">
        <v>0</v>
      </c>
      <c r="K9" s="625">
        <f>IFERROR((G9*I9)/1000,"")</f>
        <v>0</v>
      </c>
      <c r="L9" s="611"/>
      <c r="M9" s="626">
        <v>0</v>
      </c>
      <c r="N9" s="627">
        <f t="shared" ref="N9:N15" si="0">IFERROR(K9+((G9*M9)/1000),"")</f>
        <v>0</v>
      </c>
      <c r="O9" s="614"/>
      <c r="P9" s="129"/>
      <c r="Q9" s="129"/>
      <c r="R9" s="129"/>
      <c r="S9" s="129"/>
      <c r="T9" s="129"/>
      <c r="U9" s="129"/>
      <c r="V9" s="129"/>
      <c r="W9" s="118">
        <v>2025</v>
      </c>
      <c r="X9" s="140">
        <v>165</v>
      </c>
      <c r="Y9" s="106" t="e">
        <f>VLOOKUP(C8,W9:X24,2,FALSE)</f>
        <v>#N/A</v>
      </c>
    </row>
    <row r="10" spans="1:25" s="128" customFormat="1" ht="40.15" customHeight="1" x14ac:dyDescent="0.2">
      <c r="B10" s="259" t="s">
        <v>142</v>
      </c>
      <c r="C10" s="102" t="str">
        <f>'ID_Identificação do projeto'!$C$18</f>
        <v>Selecionar uma opção</v>
      </c>
      <c r="D10" s="103"/>
      <c r="E10" s="101"/>
      <c r="F10" s="628" t="s">
        <v>329</v>
      </c>
      <c r="G10" s="624">
        <f>IFERROR(C22*C23,"0")</f>
        <v>0</v>
      </c>
      <c r="H10" s="609"/>
      <c r="I10" s="629" t="str">
        <f>IFERROR(IF(D12=FAListas!$C$56, C12,"0"),"")</f>
        <v>0</v>
      </c>
      <c r="J10" s="629" t="str">
        <f>IFERROR(IF(D12=FAListas!$C$57,'Fatores de Emissão'!E47,"0"),"")</f>
        <v>0</v>
      </c>
      <c r="K10" s="625">
        <f>IFERROR(((G10*I10)+(G10*J10))/1000,"")</f>
        <v>0</v>
      </c>
      <c r="L10" s="611"/>
      <c r="M10" s="626">
        <f>'Fatores de Emissão'!G47</f>
        <v>2E-3</v>
      </c>
      <c r="N10" s="627">
        <f t="shared" si="0"/>
        <v>0</v>
      </c>
      <c r="O10" s="615"/>
      <c r="P10" s="129"/>
      <c r="Q10" s="129"/>
      <c r="R10" s="129"/>
      <c r="S10" s="129"/>
      <c r="T10" s="129"/>
      <c r="U10" s="129"/>
      <c r="V10" s="129"/>
      <c r="W10" s="118">
        <v>2026</v>
      </c>
      <c r="X10" s="140">
        <v>182</v>
      </c>
    </row>
    <row r="11" spans="1:25" s="128" customFormat="1" ht="40.15" customHeight="1" x14ac:dyDescent="0.2">
      <c r="B11" s="107" t="s">
        <v>319</v>
      </c>
      <c r="C11" s="109">
        <f>IFERROR('TM3_ferrovia e metro'!F21,"")</f>
        <v>0</v>
      </c>
      <c r="D11" s="110" t="str">
        <f>'TM3_ferrovia e metro'!E21</f>
        <v>Fator de emissão GEE (eletricidade) do utilizador (obrigatório)</v>
      </c>
      <c r="E11" s="101"/>
      <c r="F11" s="623" t="s">
        <v>422</v>
      </c>
      <c r="G11" s="624">
        <f>IFERROR(C24*C25,"0")</f>
        <v>0</v>
      </c>
      <c r="H11" s="609"/>
      <c r="I11" s="625" t="str">
        <f>IFERROR(IF(D13=FAListas!$C$56, C13,"0"),"")</f>
        <v>0</v>
      </c>
      <c r="J11" s="629" t="str">
        <f>IFERROR(IF(D13=FAListas!$C$57,'Fatores de Emissão'!E50,"0"),"")</f>
        <v>0</v>
      </c>
      <c r="K11" s="625">
        <f>IFERROR(((G11*I11)+(G11*J11))/1000,"")</f>
        <v>0</v>
      </c>
      <c r="L11" s="612"/>
      <c r="M11" s="626">
        <f>'Fatores de Emissão'!G50</f>
        <v>2E-3</v>
      </c>
      <c r="N11" s="627">
        <f t="shared" si="0"/>
        <v>0</v>
      </c>
      <c r="O11" s="611"/>
      <c r="P11" s="129"/>
      <c r="Q11" s="129"/>
      <c r="R11" s="129"/>
      <c r="S11" s="129"/>
      <c r="T11" s="129"/>
      <c r="U11" s="129"/>
      <c r="V11" s="129"/>
      <c r="W11" s="118">
        <v>2027</v>
      </c>
      <c r="X11" s="140">
        <v>199</v>
      </c>
    </row>
    <row r="12" spans="1:25" s="128" customFormat="1" ht="40.15" customHeight="1" x14ac:dyDescent="0.2">
      <c r="B12" s="107" t="s">
        <v>421</v>
      </c>
      <c r="C12" s="109">
        <f>'TM3_ferrovia e metro'!F23</f>
        <v>0</v>
      </c>
      <c r="D12" s="109" t="str">
        <f>'TM3_ferrovia e metro'!E23</f>
        <v>Selecionar uma opção</v>
      </c>
      <c r="E12" s="101"/>
      <c r="F12" s="623" t="s">
        <v>423</v>
      </c>
      <c r="G12" s="624">
        <f>IFERROR(C26*C27,"0")</f>
        <v>0</v>
      </c>
      <c r="H12" s="609"/>
      <c r="I12" s="625" t="str">
        <f>IFERROR(IF(D14=FAListas!$C$56, C14,"0"),"")</f>
        <v>0</v>
      </c>
      <c r="J12" s="629" t="str">
        <f>IFERROR(IF(D14=FAListas!$C$57,'Fatores de Emissão'!E49,"0"),"")</f>
        <v>0</v>
      </c>
      <c r="K12" s="625">
        <f>IFERROR(((G12*I12)+(G12*J12))/1000,"")</f>
        <v>0</v>
      </c>
      <c r="L12" s="611"/>
      <c r="M12" s="626">
        <f>'Fatores de Emissão'!G49</f>
        <v>2E-3</v>
      </c>
      <c r="N12" s="627">
        <f t="shared" si="0"/>
        <v>0</v>
      </c>
      <c r="O12" s="611"/>
      <c r="P12" s="129"/>
      <c r="Q12" s="129"/>
      <c r="R12" s="129"/>
      <c r="S12" s="129"/>
      <c r="T12" s="129"/>
      <c r="U12" s="129"/>
      <c r="V12" s="129"/>
      <c r="W12" s="118">
        <v>2028</v>
      </c>
      <c r="X12" s="140">
        <v>216</v>
      </c>
    </row>
    <row r="13" spans="1:25" s="128" customFormat="1" ht="40.15" customHeight="1" x14ac:dyDescent="0.2">
      <c r="B13" s="107" t="s">
        <v>737</v>
      </c>
      <c r="C13" s="109">
        <f>'TM3_ferrovia e metro'!F25</f>
        <v>0</v>
      </c>
      <c r="D13" s="109" t="str">
        <f>'TM3_ferrovia e metro'!E25</f>
        <v>Selecionar uma opção</v>
      </c>
      <c r="E13" s="101"/>
      <c r="F13" s="623" t="s">
        <v>424</v>
      </c>
      <c r="G13" s="624">
        <f>IFERROR(C28*C29,"0")</f>
        <v>0</v>
      </c>
      <c r="H13" s="609"/>
      <c r="I13" s="625" t="str">
        <f>IFERROR(IF(D15=FAListas!$C$56, C15,"0"),"")</f>
        <v>0</v>
      </c>
      <c r="J13" s="629" t="str">
        <f>IFERROR(IF(D15=FAListas!$C$57,'Fatores de Emissão'!E51,"0"),"")</f>
        <v>0</v>
      </c>
      <c r="K13" s="625">
        <f>IFERROR(((G13*I13)+(G13*J13))/1000,"")</f>
        <v>0</v>
      </c>
      <c r="L13" s="611"/>
      <c r="M13" s="630">
        <f>'Fatores de Emissão'!G51</f>
        <v>2E-3</v>
      </c>
      <c r="N13" s="627">
        <f t="shared" si="0"/>
        <v>0</v>
      </c>
      <c r="O13" s="615"/>
      <c r="R13" s="129"/>
      <c r="S13" s="129"/>
      <c r="T13" s="129"/>
      <c r="U13" s="129"/>
      <c r="V13" s="129"/>
      <c r="W13" s="118">
        <v>2029</v>
      </c>
      <c r="X13" s="140">
        <v>233</v>
      </c>
    </row>
    <row r="14" spans="1:25" s="128" customFormat="1" ht="40.15" customHeight="1" x14ac:dyDescent="0.2">
      <c r="B14" s="107" t="s">
        <v>428</v>
      </c>
      <c r="C14" s="109">
        <f>'TM3_ferrovia e metro'!F27</f>
        <v>0</v>
      </c>
      <c r="D14" s="109" t="str">
        <f>'TM3_ferrovia e metro'!E27</f>
        <v>Selecionar uma opção</v>
      </c>
      <c r="E14" s="101"/>
      <c r="F14" s="628" t="s">
        <v>339</v>
      </c>
      <c r="G14" s="624">
        <f>IFERROR(C30*C31,"0")</f>
        <v>0</v>
      </c>
      <c r="H14" s="609"/>
      <c r="I14" s="625" t="str">
        <f>IFERROR(IF(D16=FAListas!$C$56, C16,"0"),"")</f>
        <v>0</v>
      </c>
      <c r="J14" s="629" t="str">
        <f>IFERROR(IF(D16=FAListas!$C$57,'Fatores de Emissão'!E46,"0"),"")</f>
        <v>0</v>
      </c>
      <c r="K14" s="625">
        <f>IFERROR(((G14*I14)+(G14*J14))/1000,"")</f>
        <v>0</v>
      </c>
      <c r="L14" s="611"/>
      <c r="M14" s="626">
        <f>'Fatores de Emissão'!G46</f>
        <v>1.8935294117647057E-2</v>
      </c>
      <c r="N14" s="627">
        <f t="shared" si="0"/>
        <v>0</v>
      </c>
      <c r="O14" s="612"/>
      <c r="R14" s="129"/>
      <c r="S14" s="129"/>
      <c r="T14" s="129"/>
      <c r="U14" s="129"/>
      <c r="V14" s="129"/>
      <c r="W14" s="118">
        <v>2030</v>
      </c>
      <c r="X14" s="140">
        <v>250</v>
      </c>
    </row>
    <row r="15" spans="1:25" s="128" customFormat="1" ht="40.15" customHeight="1" x14ac:dyDescent="0.2">
      <c r="B15" s="107" t="s">
        <v>738</v>
      </c>
      <c r="C15" s="109">
        <f>'TM3_ferrovia e metro'!F29</f>
        <v>0</v>
      </c>
      <c r="D15" s="109" t="str">
        <f>'TM3_ferrovia e metro'!E29</f>
        <v>Selecionar uma opção</v>
      </c>
      <c r="E15" s="101"/>
      <c r="F15" s="628" t="s">
        <v>739</v>
      </c>
      <c r="G15" s="624">
        <f>IFERROR(C32*C33,"0")</f>
        <v>0</v>
      </c>
      <c r="H15" s="616"/>
      <c r="I15" s="633">
        <f>IFERROR(C17,"")</f>
        <v>0</v>
      </c>
      <c r="J15" s="617">
        <v>0</v>
      </c>
      <c r="K15" s="625">
        <f>IFERROR((G15*I15)/1000,"")</f>
        <v>0</v>
      </c>
      <c r="L15" s="618"/>
      <c r="M15" s="619">
        <f>IFERROR(C18,"")</f>
        <v>0</v>
      </c>
      <c r="N15" s="627">
        <f t="shared" si="0"/>
        <v>0</v>
      </c>
      <c r="O15" s="620"/>
      <c r="R15" s="129"/>
      <c r="S15" s="129"/>
      <c r="T15" s="129"/>
      <c r="U15" s="129"/>
      <c r="V15" s="129"/>
      <c r="W15" s="118">
        <v>2031</v>
      </c>
      <c r="X15" s="140">
        <v>278</v>
      </c>
    </row>
    <row r="16" spans="1:25" s="128" customFormat="1" ht="40.15" customHeight="1" x14ac:dyDescent="0.2">
      <c r="B16" s="382" t="s">
        <v>339</v>
      </c>
      <c r="C16" s="383">
        <f>'TM3_ferrovia e metro'!F31</f>
        <v>0</v>
      </c>
      <c r="D16" s="383" t="str">
        <f>'TM3_ferrovia e metro'!E31</f>
        <v>Selecionar uma opção</v>
      </c>
      <c r="E16" s="101"/>
      <c r="F16" s="346"/>
      <c r="G16" s="102"/>
      <c r="H16" s="102"/>
      <c r="I16" s="347"/>
      <c r="J16" s="168" t="s">
        <v>246</v>
      </c>
      <c r="K16" s="634">
        <f>IFERROR(SUM(K9:K15),"")</f>
        <v>0</v>
      </c>
      <c r="L16" s="613"/>
      <c r="M16" s="262"/>
      <c r="N16" s="634">
        <f>SUM(N9:N15)</f>
        <v>0</v>
      </c>
      <c r="O16" s="613"/>
      <c r="P16" s="166" t="s">
        <v>249</v>
      </c>
      <c r="R16" s="129"/>
      <c r="S16" s="129"/>
      <c r="T16" s="129"/>
      <c r="U16" s="129"/>
      <c r="V16" s="129"/>
      <c r="W16" s="118">
        <v>2032</v>
      </c>
      <c r="X16" s="140">
        <v>306</v>
      </c>
    </row>
    <row r="17" spans="1:24" s="128" customFormat="1" ht="24" customHeight="1" x14ac:dyDescent="0.2">
      <c r="B17" s="387" t="s">
        <v>739</v>
      </c>
      <c r="C17" s="383">
        <f>'TM3_ferrovia e metro'!F33</f>
        <v>0</v>
      </c>
      <c r="D17" s="383" t="str">
        <f>'TM3_ferrovia e metro'!E34</f>
        <v xml:space="preserve">Fator de emissão GEE do utilizador </v>
      </c>
      <c r="E17" s="101"/>
      <c r="F17" s="346"/>
      <c r="G17" s="102"/>
      <c r="H17" s="102"/>
      <c r="I17" s="532"/>
      <c r="J17" s="162"/>
      <c r="K17" s="162"/>
      <c r="L17" s="162"/>
      <c r="M17" s="163"/>
      <c r="N17" s="347"/>
      <c r="O17" s="347"/>
      <c r="R17" s="129"/>
      <c r="S17" s="129"/>
      <c r="T17" s="129"/>
      <c r="U17" s="129"/>
      <c r="V17" s="129"/>
      <c r="W17" s="118">
        <v>2033</v>
      </c>
      <c r="X17" s="140">
        <v>334</v>
      </c>
    </row>
    <row r="18" spans="1:24" s="128" customFormat="1" ht="30" customHeight="1" x14ac:dyDescent="0.2">
      <c r="B18" s="387" t="s">
        <v>746</v>
      </c>
      <c r="C18" s="383">
        <f>'TM3_ferrovia e metro'!F34</f>
        <v>0</v>
      </c>
      <c r="D18" s="383" t="str">
        <f>'TM3_ferrovia e metro'!E34</f>
        <v xml:space="preserve">Fator de emissão GEE do utilizador </v>
      </c>
      <c r="E18" s="101"/>
      <c r="F18" s="160"/>
      <c r="G18" s="102"/>
      <c r="H18" s="532"/>
      <c r="I18" s="162"/>
      <c r="J18" s="162"/>
      <c r="K18" s="162"/>
      <c r="L18" s="162"/>
      <c r="M18" s="163"/>
      <c r="N18" s="347"/>
      <c r="O18" s="347"/>
      <c r="P18" s="129"/>
      <c r="Q18" s="129"/>
      <c r="R18" s="129"/>
      <c r="S18" s="129"/>
      <c r="T18" s="129"/>
      <c r="U18" s="129"/>
      <c r="V18" s="129"/>
      <c r="W18" s="118">
        <v>2034</v>
      </c>
      <c r="X18" s="140">
        <v>362</v>
      </c>
    </row>
    <row r="19" spans="1:24" s="128" customFormat="1" ht="30" customHeight="1" x14ac:dyDescent="0.2">
      <c r="B19" s="387"/>
      <c r="C19" s="102"/>
      <c r="D19" s="102"/>
      <c r="E19" s="101"/>
      <c r="F19" s="160"/>
      <c r="G19" s="102"/>
      <c r="H19" s="532"/>
      <c r="I19" s="162"/>
      <c r="J19" s="162"/>
      <c r="K19" s="162"/>
      <c r="L19" s="162"/>
      <c r="M19" s="163"/>
      <c r="N19" s="347"/>
      <c r="O19" s="347"/>
      <c r="P19" s="129"/>
      <c r="Q19" s="129"/>
      <c r="R19" s="129"/>
      <c r="S19" s="129"/>
      <c r="T19" s="129"/>
      <c r="U19" s="129"/>
      <c r="V19" s="129"/>
      <c r="W19" s="118">
        <v>2035</v>
      </c>
      <c r="X19" s="140">
        <v>390</v>
      </c>
    </row>
    <row r="20" spans="1:24" s="128" customFormat="1" ht="30" customHeight="1" x14ac:dyDescent="0.2">
      <c r="B20" s="384" t="s">
        <v>114</v>
      </c>
      <c r="C20" s="385" t="s">
        <v>86</v>
      </c>
      <c r="D20" s="386"/>
      <c r="E20" s="101"/>
      <c r="F20" s="160"/>
      <c r="G20" s="102"/>
      <c r="H20" s="102"/>
      <c r="I20" s="161"/>
      <c r="J20" s="341"/>
      <c r="K20" s="342"/>
      <c r="L20" s="342"/>
      <c r="M20" s="343"/>
      <c r="N20" s="342"/>
      <c r="O20" s="342"/>
      <c r="P20" s="166"/>
      <c r="Q20" s="129"/>
      <c r="R20" s="129"/>
      <c r="S20" s="129"/>
      <c r="T20" s="129"/>
      <c r="U20" s="129"/>
      <c r="V20" s="129"/>
      <c r="W20" s="118">
        <v>2036</v>
      </c>
      <c r="X20" s="140">
        <v>417</v>
      </c>
    </row>
    <row r="21" spans="1:24" s="128" customFormat="1" ht="40.15" customHeight="1" x14ac:dyDescent="0.2">
      <c r="B21" s="632" t="s">
        <v>717</v>
      </c>
      <c r="C21" s="109">
        <f>IFERROR('TM3_ferrovia e metro'!E48,"")</f>
        <v>0</v>
      </c>
      <c r="D21" s="109"/>
      <c r="E21" s="101"/>
      <c r="F21" s="160"/>
      <c r="G21" s="102"/>
      <c r="H21" s="102"/>
      <c r="I21" s="161"/>
      <c r="J21" s="162"/>
      <c r="K21" s="162"/>
      <c r="L21" s="162"/>
      <c r="M21" s="163"/>
      <c r="N21" s="162"/>
      <c r="O21" s="106"/>
      <c r="P21" s="129"/>
      <c r="Q21" s="129"/>
      <c r="R21" s="129"/>
      <c r="S21" s="129"/>
      <c r="T21" s="129"/>
      <c r="U21" s="129"/>
      <c r="V21" s="129"/>
      <c r="W21" s="118">
        <v>2037</v>
      </c>
      <c r="X21" s="140">
        <v>444</v>
      </c>
    </row>
    <row r="22" spans="1:24" s="128" customFormat="1" ht="60" customHeight="1" x14ac:dyDescent="0.2">
      <c r="A22" s="102" t="s">
        <v>329</v>
      </c>
      <c r="B22" s="107" t="str">
        <f>'TM3_ferrovia e metro'!C50</f>
        <v xml:space="preserve">Nº médio de novos passageiros gerados pelo projeto, num ano típico de funcionamento </v>
      </c>
      <c r="C22" s="109">
        <f>IFERROR('TM3_ferrovia e metro'!E50,"")</f>
        <v>0</v>
      </c>
      <c r="D22" s="109"/>
      <c r="E22" s="101"/>
      <c r="F22" s="160"/>
      <c r="G22" s="102"/>
      <c r="H22" s="102"/>
      <c r="I22" s="161"/>
      <c r="J22" s="162"/>
      <c r="K22" s="162"/>
      <c r="L22" s="162"/>
      <c r="M22" s="163"/>
      <c r="N22" s="162"/>
      <c r="O22" s="106"/>
      <c r="P22" s="129"/>
      <c r="Q22" s="129"/>
      <c r="R22" s="129"/>
      <c r="S22" s="129"/>
      <c r="T22" s="129"/>
      <c r="U22" s="129"/>
      <c r="V22" s="129"/>
      <c r="W22" s="118">
        <v>2038</v>
      </c>
      <c r="X22" s="140">
        <v>471</v>
      </c>
    </row>
    <row r="23" spans="1:24" s="128" customFormat="1" ht="60" customHeight="1" x14ac:dyDescent="0.2">
      <c r="A23" s="102" t="s">
        <v>329</v>
      </c>
      <c r="B23" s="107" t="str">
        <f>'TM3_ferrovia e metro'!C51</f>
        <v xml:space="preserve">Nº comboios * Nº de km percorridos por um comboio, num ano típico de funcionamento  </v>
      </c>
      <c r="C23" s="631">
        <f>'TM3_ferrovia e metro'!E51</f>
        <v>0</v>
      </c>
      <c r="D23" s="109"/>
      <c r="E23" s="101"/>
      <c r="F23" s="160"/>
      <c r="G23" s="102"/>
      <c r="H23" s="102"/>
      <c r="I23" s="161"/>
      <c r="J23" s="102"/>
      <c r="K23" s="102"/>
      <c r="L23" s="102"/>
      <c r="M23" s="102"/>
      <c r="N23" s="102"/>
      <c r="O23" s="106"/>
      <c r="P23" s="129"/>
      <c r="Q23" s="129"/>
      <c r="R23" s="129"/>
      <c r="S23" s="129"/>
      <c r="T23" s="129"/>
      <c r="U23" s="129"/>
      <c r="V23" s="129"/>
      <c r="W23" s="118">
        <v>2039</v>
      </c>
      <c r="X23" s="140">
        <v>498</v>
      </c>
    </row>
    <row r="24" spans="1:24" s="128" customFormat="1" ht="60" customHeight="1" x14ac:dyDescent="0.2">
      <c r="A24" s="102" t="s">
        <v>422</v>
      </c>
      <c r="B24" s="107" t="str">
        <f>'TM3_ferrovia e metro'!C56</f>
        <v xml:space="preserve">Nº médio de novos passageiros gerados pelo projeto, num ano típico de funcionamento </v>
      </c>
      <c r="C24" s="631">
        <f>'TM3_ferrovia e metro'!E53</f>
        <v>0</v>
      </c>
      <c r="D24" s="109"/>
      <c r="E24" s="101"/>
      <c r="F24" s="160"/>
      <c r="G24" s="102"/>
      <c r="H24" s="102"/>
      <c r="I24" s="161"/>
      <c r="J24" s="102"/>
      <c r="K24" s="102"/>
      <c r="L24" s="102"/>
      <c r="M24" s="102"/>
      <c r="N24" s="102"/>
      <c r="O24" s="106"/>
      <c r="P24" s="129"/>
      <c r="Q24" s="129"/>
      <c r="R24" s="129"/>
      <c r="S24" s="129"/>
      <c r="T24" s="129"/>
      <c r="U24" s="129"/>
      <c r="V24" s="129"/>
      <c r="W24" s="118">
        <v>2040</v>
      </c>
      <c r="X24" s="140">
        <v>325</v>
      </c>
    </row>
    <row r="25" spans="1:24" s="128" customFormat="1" ht="60" customHeight="1" x14ac:dyDescent="0.2">
      <c r="A25" s="102" t="s">
        <v>422</v>
      </c>
      <c r="B25" s="107" t="str">
        <f>'TM3_ferrovia e metro'!C57</f>
        <v xml:space="preserve">Nº comboios * Nº de km percorridos por um comboio, num ano típico de funcionamento  </v>
      </c>
      <c r="C25" s="631">
        <f>'TM3_ferrovia e metro'!E54</f>
        <v>0</v>
      </c>
      <c r="D25" s="109"/>
      <c r="E25" s="101"/>
      <c r="F25" s="160"/>
      <c r="G25" s="102"/>
      <c r="H25" s="102"/>
      <c r="I25" s="161"/>
      <c r="J25" s="102"/>
      <c r="K25" s="102"/>
      <c r="L25" s="102"/>
      <c r="M25" s="102"/>
      <c r="N25" s="102"/>
      <c r="O25" s="106"/>
      <c r="P25" s="129"/>
      <c r="Q25" s="129"/>
      <c r="R25" s="129"/>
      <c r="S25" s="129"/>
      <c r="T25" s="129"/>
      <c r="U25" s="129"/>
      <c r="V25" s="129"/>
      <c r="W25" s="118"/>
      <c r="X25" s="140"/>
    </row>
    <row r="26" spans="1:24" s="128" customFormat="1" ht="60" customHeight="1" x14ac:dyDescent="0.2">
      <c r="A26" s="102" t="s">
        <v>425</v>
      </c>
      <c r="B26" s="107" t="str">
        <f>'TM3_ferrovia e metro'!C59</f>
        <v xml:space="preserve">Nº médio de novos passageiros gerados pelo projeto, num ano típico de funcionamento </v>
      </c>
      <c r="C26" s="631">
        <f>'TM3_ferrovia e metro'!E56</f>
        <v>0</v>
      </c>
      <c r="D26" s="109"/>
      <c r="E26" s="101"/>
      <c r="F26" s="101"/>
      <c r="G26" s="130"/>
      <c r="H26" s="130"/>
      <c r="I26" s="101"/>
      <c r="J26" s="106"/>
      <c r="K26" s="106"/>
      <c r="L26" s="106"/>
      <c r="M26" s="106"/>
      <c r="N26" s="106"/>
      <c r="O26" s="106"/>
      <c r="P26" s="129"/>
      <c r="Q26" s="129"/>
      <c r="R26" s="129"/>
      <c r="S26" s="129"/>
      <c r="T26" s="129"/>
      <c r="U26" s="129"/>
      <c r="V26" s="129"/>
      <c r="W26" s="118"/>
      <c r="X26" s="140"/>
    </row>
    <row r="27" spans="1:24" s="128" customFormat="1" ht="60" customHeight="1" x14ac:dyDescent="0.2">
      <c r="A27" s="102" t="s">
        <v>425</v>
      </c>
      <c r="B27" s="107" t="str">
        <f>'TM3_ferrovia e metro'!C60</f>
        <v xml:space="preserve">Nº comboios * Nº de km percorridos por um comboio, num ano típico de funcionamento  </v>
      </c>
      <c r="C27" s="631">
        <f>'TM3_ferrovia e metro'!E57</f>
        <v>0</v>
      </c>
      <c r="D27" s="109"/>
      <c r="E27" s="101"/>
      <c r="F27" s="101"/>
      <c r="G27" s="130"/>
      <c r="H27" s="130"/>
      <c r="I27" s="101"/>
      <c r="J27" s="106"/>
      <c r="K27" s="106"/>
      <c r="L27" s="106"/>
      <c r="M27" s="106"/>
      <c r="N27" s="106"/>
      <c r="O27" s="106"/>
      <c r="P27" s="129"/>
      <c r="Q27" s="129"/>
      <c r="R27" s="129"/>
      <c r="S27" s="129"/>
      <c r="T27" s="129"/>
      <c r="U27" s="129"/>
      <c r="V27" s="129"/>
      <c r="W27" s="118"/>
      <c r="X27" s="140"/>
    </row>
    <row r="28" spans="1:24" s="128" customFormat="1" ht="60" customHeight="1" x14ac:dyDescent="0.2">
      <c r="A28" s="102" t="s">
        <v>426</v>
      </c>
      <c r="B28" s="107" t="str">
        <f>'TM3_ferrovia e metro'!C59</f>
        <v xml:space="preserve">Nº médio de novos passageiros gerados pelo projeto, num ano típico de funcionamento </v>
      </c>
      <c r="C28" s="109">
        <f>'TM3_ferrovia e metro'!E59</f>
        <v>0</v>
      </c>
      <c r="D28" s="109"/>
      <c r="E28" s="101"/>
      <c r="F28" s="101"/>
      <c r="G28" s="130"/>
      <c r="H28" s="130"/>
      <c r="I28" s="101"/>
      <c r="J28" s="106"/>
      <c r="K28" s="106"/>
      <c r="L28" s="106"/>
      <c r="M28" s="106"/>
      <c r="N28" s="106"/>
      <c r="O28" s="106"/>
      <c r="P28" s="129"/>
      <c r="Q28" s="129"/>
      <c r="R28" s="129"/>
      <c r="S28" s="129"/>
      <c r="T28" s="129"/>
      <c r="U28" s="129"/>
      <c r="V28" s="129"/>
      <c r="W28" s="118"/>
      <c r="X28" s="140"/>
    </row>
    <row r="29" spans="1:24" s="128" customFormat="1" ht="60" customHeight="1" x14ac:dyDescent="0.2">
      <c r="A29" s="102" t="s">
        <v>426</v>
      </c>
      <c r="B29" s="107" t="str">
        <f>'TM3_ferrovia e metro'!C60</f>
        <v xml:space="preserve">Nº comboios * Nº de km percorridos por um comboio, num ano típico de funcionamento  </v>
      </c>
      <c r="C29" s="631">
        <f>'TM3_ferrovia e metro'!E60</f>
        <v>0</v>
      </c>
      <c r="D29" s="109"/>
      <c r="E29" s="101"/>
      <c r="F29" s="101"/>
      <c r="G29" s="130"/>
      <c r="H29" s="130"/>
      <c r="I29" s="101"/>
      <c r="J29" s="106"/>
      <c r="K29" s="106"/>
      <c r="L29" s="106"/>
      <c r="M29" s="106"/>
      <c r="N29" s="106"/>
      <c r="O29" s="106"/>
      <c r="P29" s="129"/>
      <c r="Q29" s="129"/>
      <c r="R29" s="129"/>
      <c r="S29" s="129"/>
      <c r="T29" s="129"/>
      <c r="U29" s="129"/>
      <c r="V29" s="129"/>
      <c r="W29" s="118"/>
      <c r="X29" s="140"/>
    </row>
    <row r="30" spans="1:24" s="128" customFormat="1" ht="60" customHeight="1" x14ac:dyDescent="0.2">
      <c r="A30" s="106" t="s">
        <v>339</v>
      </c>
      <c r="B30" s="107" t="str">
        <f>'TM3_ferrovia e metro'!C65</f>
        <v xml:space="preserve">Nº médio de novos passageiros gerados pelo projeto, num ano típico de funcionamento </v>
      </c>
      <c r="C30" s="109">
        <f>'TM3_ferrovia e metro'!E62</f>
        <v>0</v>
      </c>
      <c r="D30" s="109"/>
      <c r="E30" s="106"/>
      <c r="F30" s="106"/>
      <c r="G30" s="106"/>
      <c r="H30" s="106"/>
      <c r="I30" s="106"/>
      <c r="J30" s="106"/>
      <c r="K30" s="106"/>
      <c r="L30" s="106"/>
      <c r="M30" s="106"/>
      <c r="N30" s="106"/>
      <c r="O30" s="106"/>
      <c r="P30" s="129"/>
      <c r="Q30" s="129"/>
      <c r="R30" s="129"/>
      <c r="S30" s="129"/>
      <c r="T30" s="129"/>
      <c r="U30" s="129"/>
      <c r="V30" s="129"/>
      <c r="W30" s="118"/>
      <c r="X30" s="140"/>
    </row>
    <row r="31" spans="1:24" s="128" customFormat="1" ht="60" customHeight="1" x14ac:dyDescent="0.2">
      <c r="A31" s="106" t="s">
        <v>339</v>
      </c>
      <c r="B31" s="107" t="str">
        <f>'TM3_ferrovia e metro'!C66</f>
        <v xml:space="preserve">Nº comboios * Nº de km  percorridos por um comboio, num ano típico de funcionamento  </v>
      </c>
      <c r="C31" s="631">
        <f>'TM3_ferrovia e metro'!E63</f>
        <v>0</v>
      </c>
      <c r="D31" s="109"/>
      <c r="E31" s="106"/>
      <c r="F31" s="106"/>
      <c r="G31" s="106"/>
      <c r="H31" s="106"/>
      <c r="I31" s="106"/>
      <c r="J31" s="106"/>
      <c r="K31" s="106"/>
      <c r="L31" s="106"/>
      <c r="M31" s="106"/>
      <c r="N31" s="106"/>
      <c r="O31" s="106"/>
      <c r="W31" s="118"/>
      <c r="X31" s="140"/>
    </row>
    <row r="32" spans="1:24" s="128" customFormat="1" ht="40.15" customHeight="1" x14ac:dyDescent="0.2">
      <c r="A32" s="102" t="s">
        <v>739</v>
      </c>
      <c r="B32" s="107" t="str">
        <f>'TM3_ferrovia e metro'!C65</f>
        <v xml:space="preserve">Nº médio de novos passageiros gerados pelo projeto, num ano típico de funcionamento </v>
      </c>
      <c r="C32" s="109">
        <f>'TM3_ferrovia e metro'!E65</f>
        <v>0</v>
      </c>
      <c r="D32" s="109"/>
      <c r="E32" s="106"/>
      <c r="F32" s="106"/>
      <c r="G32" s="106"/>
      <c r="H32" s="106"/>
      <c r="I32" s="106"/>
      <c r="J32" s="106"/>
      <c r="K32" s="106"/>
      <c r="L32" s="106"/>
      <c r="M32" s="106"/>
      <c r="N32" s="106"/>
      <c r="O32" s="106"/>
      <c r="W32" s="118"/>
      <c r="X32" s="140"/>
    </row>
    <row r="33" spans="1:15" s="123" customFormat="1" ht="40.15" customHeight="1" x14ac:dyDescent="0.2">
      <c r="A33" s="102" t="s">
        <v>739</v>
      </c>
      <c r="B33" s="107" t="str">
        <f>'TM3_ferrovia e metro'!C66</f>
        <v xml:space="preserve">Nº comboios * Nº de km  percorridos por um comboio, num ano típico de funcionamento  </v>
      </c>
      <c r="C33" s="631">
        <f>'TM3_ferrovia e metro'!E66</f>
        <v>0</v>
      </c>
      <c r="D33" s="109"/>
      <c r="E33" s="124"/>
      <c r="F33" s="124"/>
      <c r="G33" s="124"/>
      <c r="H33" s="124"/>
      <c r="I33" s="124"/>
      <c r="J33" s="124"/>
      <c r="K33" s="124"/>
      <c r="L33" s="124"/>
      <c r="M33" s="124"/>
      <c r="N33" s="124"/>
      <c r="O33" s="124"/>
    </row>
    <row r="34" spans="1:15" s="123" customFormat="1" ht="30" customHeight="1" x14ac:dyDescent="0.2">
      <c r="D34" s="124"/>
      <c r="E34" s="124"/>
      <c r="F34" s="124"/>
      <c r="G34" s="124"/>
      <c r="H34" s="124"/>
      <c r="I34" s="124"/>
      <c r="J34" s="124"/>
      <c r="K34" s="124"/>
      <c r="L34" s="124"/>
      <c r="M34" s="124"/>
      <c r="N34" s="124"/>
      <c r="O34" s="124"/>
    </row>
    <row r="35" spans="1:15" s="121" customFormat="1" ht="30" customHeight="1" x14ac:dyDescent="0.2">
      <c r="B35" s="120" t="s">
        <v>433</v>
      </c>
      <c r="D35" s="122"/>
      <c r="E35" s="122"/>
      <c r="F35" s="122"/>
      <c r="G35" s="122"/>
      <c r="H35" s="122"/>
      <c r="I35" s="122"/>
      <c r="J35" s="122"/>
      <c r="K35" s="122"/>
      <c r="L35" s="122"/>
      <c r="M35" s="122"/>
      <c r="N35" s="122"/>
      <c r="O35" s="122"/>
    </row>
    <row r="36" spans="1:15" s="175" customFormat="1" ht="30" customHeight="1" x14ac:dyDescent="0.2">
      <c r="B36" s="176"/>
      <c r="D36" s="177"/>
      <c r="E36" s="177"/>
      <c r="F36" s="177"/>
      <c r="G36" s="177"/>
      <c r="H36" s="177"/>
      <c r="I36" s="177"/>
      <c r="J36" s="177"/>
      <c r="K36" s="177"/>
      <c r="L36" s="177"/>
      <c r="M36" s="177"/>
      <c r="N36" s="177"/>
      <c r="O36" s="177"/>
    </row>
    <row r="37" spans="1:15" s="175" customFormat="1" ht="30" customHeight="1" x14ac:dyDescent="0.2">
      <c r="B37" s="176" t="s">
        <v>252</v>
      </c>
      <c r="D37" s="177"/>
      <c r="E37" s="177"/>
      <c r="F37" s="177"/>
      <c r="G37" s="177"/>
      <c r="H37" s="177"/>
      <c r="I37" s="177"/>
      <c r="J37" s="177"/>
      <c r="K37" s="177"/>
      <c r="L37" s="177"/>
      <c r="M37" s="177"/>
      <c r="N37" s="177"/>
      <c r="O37" s="177"/>
    </row>
    <row r="38" spans="1:15" s="175" customFormat="1" ht="30" customHeight="1" x14ac:dyDescent="0.2">
      <c r="B38" s="176"/>
      <c r="D38" s="177"/>
      <c r="E38" s="177"/>
      <c r="F38" s="177"/>
      <c r="G38" s="177"/>
      <c r="H38" s="177"/>
      <c r="I38" s="177"/>
      <c r="J38" s="177"/>
      <c r="K38" s="177"/>
      <c r="L38" s="177"/>
      <c r="M38" s="177"/>
      <c r="N38" s="177"/>
      <c r="O38" s="177"/>
    </row>
    <row r="39" spans="1:15" s="175" customFormat="1" ht="30" customHeight="1" x14ac:dyDescent="0.2">
      <c r="B39" s="120" t="s">
        <v>285</v>
      </c>
      <c r="C39" s="179" t="s">
        <v>77</v>
      </c>
      <c r="D39" s="122" t="s">
        <v>909</v>
      </c>
      <c r="E39" s="122" t="s">
        <v>256</v>
      </c>
      <c r="F39" s="177"/>
      <c r="G39" s="122" t="s">
        <v>286</v>
      </c>
      <c r="H39" s="122" t="s">
        <v>77</v>
      </c>
      <c r="I39" s="122" t="s">
        <v>909</v>
      </c>
      <c r="J39" s="122" t="s">
        <v>256</v>
      </c>
      <c r="K39" s="177"/>
      <c r="L39" s="177"/>
      <c r="M39" s="177"/>
      <c r="N39" s="177"/>
      <c r="O39" s="177"/>
    </row>
    <row r="40" spans="1:15" s="175" customFormat="1" ht="30" customHeight="1" x14ac:dyDescent="0.2">
      <c r="B40" s="176" t="s">
        <v>125</v>
      </c>
      <c r="C40" s="178">
        <v>0.55000000000000004</v>
      </c>
      <c r="D40" s="180">
        <f>'Fatores de Emissão'!E99</f>
        <v>0.12029271250000002</v>
      </c>
      <c r="E40" s="181">
        <f t="shared" ref="E40:E45" si="1">C40*D40</f>
        <v>6.6160991875000019E-2</v>
      </c>
      <c r="F40" s="177"/>
      <c r="G40" s="247" t="s">
        <v>125</v>
      </c>
      <c r="H40" s="388">
        <v>0.84</v>
      </c>
      <c r="I40" s="124">
        <f>'Fatores de Emissão'!E63</f>
        <v>8.29704311418685E-2</v>
      </c>
      <c r="J40" s="389">
        <f>H40*I40</f>
        <v>6.9695162159169544E-2</v>
      </c>
      <c r="K40" s="181"/>
      <c r="L40" s="177"/>
      <c r="M40" s="177"/>
      <c r="N40" s="177"/>
      <c r="O40" s="177"/>
    </row>
    <row r="41" spans="1:15" s="175" customFormat="1" ht="30" customHeight="1" x14ac:dyDescent="0.2">
      <c r="B41" s="176" t="s">
        <v>227</v>
      </c>
      <c r="C41" s="178">
        <v>0.38</v>
      </c>
      <c r="D41" s="180">
        <f>'Fatores de Emissão'!E93</f>
        <v>0.12633856874999999</v>
      </c>
      <c r="E41" s="181">
        <f t="shared" si="1"/>
        <v>4.8008656125E-2</v>
      </c>
      <c r="F41" s="177"/>
      <c r="G41" s="247" t="s">
        <v>89</v>
      </c>
      <c r="H41" s="388">
        <v>0.16</v>
      </c>
      <c r="I41" s="124">
        <f>'Fatores de Emissão'!E68</f>
        <v>9.3486387543252586E-2</v>
      </c>
      <c r="J41" s="389">
        <f>H41*I41</f>
        <v>1.4957822006920415E-2</v>
      </c>
      <c r="K41" s="177"/>
      <c r="L41" s="177"/>
      <c r="M41" s="177"/>
      <c r="N41" s="177"/>
      <c r="O41" s="177"/>
    </row>
    <row r="42" spans="1:15" s="175" customFormat="1" ht="30" customHeight="1" x14ac:dyDescent="0.2">
      <c r="B42" s="176" t="s">
        <v>230</v>
      </c>
      <c r="C42" s="178">
        <v>0.01</v>
      </c>
      <c r="D42" s="180">
        <f>'Fatores de Emissão'!E102</f>
        <v>0.119959</v>
      </c>
      <c r="E42" s="181">
        <f t="shared" si="1"/>
        <v>1.1995899999999999E-3</v>
      </c>
      <c r="F42" s="177"/>
      <c r="G42" s="182" t="s">
        <v>246</v>
      </c>
      <c r="H42" s="182"/>
      <c r="I42" s="182"/>
      <c r="J42" s="789">
        <f>SUM(J36:J41)</f>
        <v>8.4652984166089962E-2</v>
      </c>
      <c r="K42" s="177"/>
      <c r="L42" s="177"/>
      <c r="M42" s="177"/>
      <c r="N42" s="177"/>
      <c r="O42" s="177"/>
    </row>
    <row r="43" spans="1:15" s="175" customFormat="1" ht="30" customHeight="1" x14ac:dyDescent="0.2">
      <c r="B43" s="176" t="s">
        <v>255</v>
      </c>
      <c r="C43" s="178">
        <v>0.02</v>
      </c>
      <c r="D43" s="180">
        <f>'Fatores de Emissão'!E9</f>
        <v>1.3839724576271188E-2</v>
      </c>
      <c r="E43" s="181">
        <f t="shared" si="1"/>
        <v>2.7679449152542379E-4</v>
      </c>
      <c r="F43" s="177"/>
      <c r="G43" s="177"/>
      <c r="H43" s="177"/>
      <c r="I43" s="177"/>
      <c r="J43" s="177"/>
      <c r="K43" s="177"/>
      <c r="L43" s="177"/>
      <c r="M43" s="177"/>
      <c r="N43" s="177"/>
      <c r="O43" s="177"/>
    </row>
    <row r="44" spans="1:15" s="175" customFormat="1" ht="30" customHeight="1" x14ac:dyDescent="0.2">
      <c r="B44" s="176" t="s">
        <v>254</v>
      </c>
      <c r="C44" s="178">
        <v>0.02</v>
      </c>
      <c r="D44" s="180">
        <f>'Fatores de Emissão'!E96</f>
        <v>8.0156249999999998E-2</v>
      </c>
      <c r="E44" s="181">
        <f t="shared" si="1"/>
        <v>1.6031249999999999E-3</v>
      </c>
      <c r="F44" s="177"/>
      <c r="G44" s="177"/>
      <c r="H44" s="177"/>
      <c r="I44" s="177"/>
      <c r="J44" s="177"/>
      <c r="K44" s="177"/>
      <c r="L44" s="177"/>
      <c r="M44" s="177"/>
      <c r="N44" s="177"/>
      <c r="O44" s="177"/>
    </row>
    <row r="45" spans="1:15" s="175" customFormat="1" ht="30" customHeight="1" x14ac:dyDescent="0.2">
      <c r="B45" s="176" t="s">
        <v>260</v>
      </c>
      <c r="C45" s="178">
        <v>0.02</v>
      </c>
      <c r="D45" s="180">
        <f>'Fatores de Emissão'!E10</f>
        <v>4.4243290960451981E-3</v>
      </c>
      <c r="E45" s="181">
        <f t="shared" si="1"/>
        <v>8.8486581920903967E-5</v>
      </c>
      <c r="F45" s="177"/>
      <c r="G45" s="188" t="s">
        <v>263</v>
      </c>
      <c r="H45" s="186" t="s">
        <v>9</v>
      </c>
      <c r="I45" s="177"/>
      <c r="J45" s="177"/>
      <c r="K45" s="177"/>
      <c r="L45" s="177"/>
      <c r="M45" s="177"/>
      <c r="N45" s="177"/>
      <c r="O45" s="177"/>
    </row>
    <row r="46" spans="1:15" s="175" customFormat="1" ht="30" customHeight="1" x14ac:dyDescent="0.2">
      <c r="B46" s="182" t="s">
        <v>246</v>
      </c>
      <c r="C46" s="183"/>
      <c r="D46" s="184"/>
      <c r="E46" s="185">
        <f>SUM(E40:E45)</f>
        <v>0.11733764407344634</v>
      </c>
      <c r="F46" s="177"/>
      <c r="G46" s="187" t="s">
        <v>205</v>
      </c>
      <c r="H46" s="177" t="e">
        <f>VLOOKUP($C$9,FAListas!C20:D28,2,FALSE)</f>
        <v>#N/A</v>
      </c>
      <c r="I46" s="177"/>
      <c r="J46" s="177"/>
      <c r="K46" s="177"/>
      <c r="L46" s="177"/>
      <c r="M46" s="177"/>
      <c r="N46" s="177"/>
      <c r="O46" s="177"/>
    </row>
    <row r="47" spans="1:15" s="175" customFormat="1" ht="30" customHeight="1" x14ac:dyDescent="0.2">
      <c r="D47" s="177"/>
      <c r="E47" s="177">
        <v>30</v>
      </c>
      <c r="F47" s="177"/>
      <c r="G47" s="204"/>
      <c r="H47" s="205"/>
      <c r="I47" s="177"/>
      <c r="J47" s="177"/>
      <c r="K47" s="177"/>
      <c r="L47" s="177"/>
      <c r="M47" s="177"/>
      <c r="N47" s="177"/>
      <c r="O47" s="177"/>
    </row>
    <row r="48" spans="1:15" s="175" customFormat="1" ht="30" customHeight="1" x14ac:dyDescent="0.2">
      <c r="D48" s="177"/>
      <c r="E48" s="177">
        <v>3000</v>
      </c>
      <c r="F48" s="177"/>
      <c r="G48" s="187" t="s">
        <v>154</v>
      </c>
      <c r="H48" s="177">
        <f>'Fatores de Emissão'!E47</f>
        <v>8.9999999999999993E-3</v>
      </c>
      <c r="I48" s="177"/>
      <c r="J48" s="177"/>
      <c r="K48" s="177"/>
      <c r="L48" s="177"/>
      <c r="M48" s="177"/>
      <c r="N48" s="177"/>
      <c r="O48" s="177"/>
    </row>
    <row r="49" spans="1:18" s="175" customFormat="1" ht="30" customHeight="1" x14ac:dyDescent="0.2">
      <c r="D49" s="177"/>
      <c r="E49" s="177"/>
      <c r="F49" s="177"/>
      <c r="G49" s="187" t="s">
        <v>765</v>
      </c>
      <c r="H49" s="177">
        <v>0</v>
      </c>
      <c r="I49" s="177"/>
      <c r="J49" s="177"/>
      <c r="K49" s="177"/>
      <c r="L49" s="177"/>
      <c r="M49" s="177"/>
      <c r="N49" s="177"/>
      <c r="O49" s="177"/>
    </row>
    <row r="50" spans="1:18" s="175" customFormat="1" ht="30" customHeight="1" x14ac:dyDescent="0.2">
      <c r="D50" s="177"/>
      <c r="E50" s="177">
        <v>30</v>
      </c>
      <c r="F50" s="177"/>
      <c r="G50" s="187" t="s">
        <v>339</v>
      </c>
      <c r="H50" s="647">
        <f>'Fatores de Emissão'!E46</f>
        <v>6.2217194570135751E-3</v>
      </c>
      <c r="I50" s="177"/>
      <c r="J50" s="177"/>
      <c r="K50" s="177"/>
      <c r="L50" s="177"/>
      <c r="M50" s="177"/>
      <c r="N50" s="177"/>
      <c r="O50" s="177"/>
    </row>
    <row r="51" spans="1:18" s="175" customFormat="1" ht="30" customHeight="1" x14ac:dyDescent="0.2">
      <c r="D51" s="177"/>
      <c r="E51" s="177">
        <v>3000</v>
      </c>
      <c r="F51" s="177"/>
      <c r="G51" s="187"/>
      <c r="H51" s="177"/>
      <c r="I51" s="177"/>
      <c r="J51" s="177"/>
      <c r="K51" s="177"/>
      <c r="L51" s="177"/>
      <c r="M51" s="177"/>
      <c r="N51" s="177"/>
      <c r="O51" s="177"/>
    </row>
    <row r="52" spans="1:18" s="123" customFormat="1" ht="30" customHeight="1" x14ac:dyDescent="0.2">
      <c r="D52" s="209"/>
      <c r="E52" s="124"/>
      <c r="F52" s="124"/>
      <c r="G52" s="124"/>
      <c r="H52" s="124"/>
      <c r="N52" s="209"/>
      <c r="O52" s="124"/>
      <c r="P52" s="124"/>
      <c r="Q52" s="124"/>
      <c r="R52" s="124"/>
    </row>
    <row r="53" spans="1:18" s="123" customFormat="1" ht="49.9" customHeight="1" x14ac:dyDescent="0.2">
      <c r="A53" s="348"/>
      <c r="B53" s="108" t="s">
        <v>264</v>
      </c>
      <c r="C53" s="151"/>
      <c r="D53" s="108" t="s">
        <v>771</v>
      </c>
      <c r="E53" s="108" t="s">
        <v>430</v>
      </c>
      <c r="F53" s="108" t="s">
        <v>429</v>
      </c>
      <c r="G53" s="108" t="s">
        <v>431</v>
      </c>
      <c r="H53" s="108" t="s">
        <v>432</v>
      </c>
      <c r="I53" s="108" t="s">
        <v>766</v>
      </c>
      <c r="J53" s="101"/>
      <c r="K53" s="101"/>
      <c r="L53" s="101"/>
      <c r="M53" s="101"/>
      <c r="N53" s="101"/>
      <c r="O53" s="101"/>
      <c r="P53" s="101"/>
      <c r="Q53" s="101"/>
      <c r="R53" s="101"/>
    </row>
    <row r="54" spans="1:18" s="123" customFormat="1" ht="30" customHeight="1" x14ac:dyDescent="0.2">
      <c r="A54" s="349"/>
      <c r="B54" s="266" t="s">
        <v>262</v>
      </c>
      <c r="C54" s="153"/>
      <c r="D54" s="148">
        <f>IFERROR(('TM3_ferrovia e metro'!E81/100),"0")</f>
        <v>0</v>
      </c>
      <c r="E54" s="148">
        <f>IFERROR(('TM3_ferrovia e metro'!E88/100),"0")</f>
        <v>0</v>
      </c>
      <c r="F54" s="148">
        <f>IFERROR(('TM3_ferrovia e metro'!E95/100),"0")</f>
        <v>0</v>
      </c>
      <c r="G54" s="148">
        <f>IFERROR(('TM3_ferrovia e metro'!E102/100),"0")</f>
        <v>0</v>
      </c>
      <c r="H54" s="148">
        <f>IFERROR(('TM3_ferrovia e metro'!E109/100),"0")</f>
        <v>0</v>
      </c>
      <c r="I54" s="148">
        <f>IFERROR(('TM3_ferrovia e metro'!E116/100),"0")</f>
        <v>0</v>
      </c>
      <c r="J54" s="157"/>
      <c r="K54" s="157"/>
      <c r="L54" s="157"/>
      <c r="M54" s="157"/>
      <c r="N54" s="157"/>
      <c r="O54" s="157"/>
      <c r="P54" s="349"/>
      <c r="Q54" s="349"/>
      <c r="R54" s="349"/>
    </row>
    <row r="55" spans="1:18" s="123" customFormat="1" ht="30" customHeight="1" x14ac:dyDescent="0.2">
      <c r="A55" s="349"/>
      <c r="B55" s="266" t="s">
        <v>171</v>
      </c>
      <c r="C55" s="153"/>
      <c r="D55" s="148">
        <f>IFERROR(('TM3_ferrovia e metro'!E82/100),"0")</f>
        <v>0</v>
      </c>
      <c r="E55" s="148">
        <f>IFERROR(('TM3_ferrovia e metro'!E89/100),"0")</f>
        <v>0</v>
      </c>
      <c r="F55" s="148">
        <f>IFERROR(('TM3_ferrovia e metro'!E96/100),"")</f>
        <v>0</v>
      </c>
      <c r="G55" s="148">
        <f>IFERROR(('TM3_ferrovia e metro'!E103/100),"")</f>
        <v>0</v>
      </c>
      <c r="H55" s="148">
        <f>IFERROR(('TM3_ferrovia e metro'!E110/100),"")</f>
        <v>0</v>
      </c>
      <c r="I55" s="148">
        <f>IFERROR(('TM3_ferrovia e metro'!E117/100),"0")</f>
        <v>0</v>
      </c>
      <c r="J55" s="157"/>
      <c r="K55" s="157"/>
      <c r="L55" s="157"/>
      <c r="M55" s="157"/>
      <c r="N55" s="157"/>
      <c r="O55" s="157"/>
      <c r="P55" s="349"/>
      <c r="Q55" s="349"/>
      <c r="R55" s="349"/>
    </row>
    <row r="56" spans="1:18" s="123" customFormat="1" ht="30" customHeight="1" x14ac:dyDescent="0.2">
      <c r="A56" s="349"/>
      <c r="B56" s="266" t="s">
        <v>205</v>
      </c>
      <c r="C56" s="153"/>
      <c r="D56" s="148">
        <f>IFERROR(('TM3_ferrovia e metro'!E83/100),"0")</f>
        <v>0</v>
      </c>
      <c r="E56" s="148" t="s">
        <v>6</v>
      </c>
      <c r="F56" s="148" t="s">
        <v>6</v>
      </c>
      <c r="G56" s="148" t="s">
        <v>6</v>
      </c>
      <c r="H56" s="148">
        <f>IFERROR(('TM3_ferrovia e metro'!E111/100),"")</f>
        <v>0</v>
      </c>
      <c r="I56" s="148">
        <f>IFERROR(('TM3_ferrovia e metro'!E118/100),"0")</f>
        <v>0</v>
      </c>
      <c r="J56" s="157"/>
      <c r="K56" s="157"/>
      <c r="L56" s="157"/>
      <c r="M56" s="157"/>
      <c r="N56" s="157"/>
      <c r="O56" s="157"/>
      <c r="P56" s="349"/>
      <c r="Q56" s="349"/>
      <c r="R56" s="349"/>
    </row>
    <row r="57" spans="1:18" s="123" customFormat="1" ht="30" customHeight="1" x14ac:dyDescent="0.2">
      <c r="A57" s="349"/>
      <c r="B57" s="266" t="s">
        <v>154</v>
      </c>
      <c r="C57" s="153"/>
      <c r="D57" s="390" t="s">
        <v>6</v>
      </c>
      <c r="E57" s="148"/>
      <c r="F57" s="148">
        <f>IFERROR(('TM3_ferrovia e metro'!E97/100),"")</f>
        <v>0</v>
      </c>
      <c r="G57" s="148">
        <f>IFERROR(('TM3_ferrovia e metro'!E104/100),"")</f>
        <v>0</v>
      </c>
      <c r="H57" s="148">
        <f>IFERROR(('TM3_ferrovia e metro'!E112/100),"")</f>
        <v>0</v>
      </c>
      <c r="I57" s="148">
        <f>IFERROR(('TM3_ferrovia e metro'!E119/100),"0")</f>
        <v>0</v>
      </c>
      <c r="J57" s="392"/>
      <c r="K57" s="157"/>
      <c r="L57" s="157"/>
      <c r="M57" s="157"/>
      <c r="N57" s="157"/>
      <c r="O57" s="157"/>
      <c r="P57" s="349"/>
      <c r="Q57" s="349"/>
      <c r="R57" s="349"/>
    </row>
    <row r="58" spans="1:18" s="123" customFormat="1" ht="30" customHeight="1" x14ac:dyDescent="0.2">
      <c r="A58" s="349"/>
      <c r="B58" s="266" t="s">
        <v>770</v>
      </c>
      <c r="C58" s="153"/>
      <c r="D58" s="148">
        <f>IFERROR(('TM3_ferrovia e metro'!E84/100),"0")</f>
        <v>0</v>
      </c>
      <c r="E58" s="148">
        <f>IFERROR(('TM3_ferrovia e metro'!E91/100),"0")</f>
        <v>0</v>
      </c>
      <c r="F58" s="148">
        <f>IFERROR(('TM3_ferrovia e metro'!E98/100),"")</f>
        <v>0</v>
      </c>
      <c r="G58" s="148">
        <f>IFERROR(('TM3_ferrovia e metro'!E105/100),"")</f>
        <v>0</v>
      </c>
      <c r="H58" s="148" t="s">
        <v>6</v>
      </c>
      <c r="I58" s="148">
        <f>IFERROR(('TM3_ferrovia e metro'!E120/100),"0")</f>
        <v>0</v>
      </c>
      <c r="J58" s="392"/>
      <c r="K58" s="157"/>
      <c r="L58" s="157"/>
      <c r="M58" s="157"/>
      <c r="N58" s="157"/>
      <c r="O58" s="157"/>
      <c r="P58" s="349"/>
      <c r="Q58" s="349"/>
      <c r="R58" s="349"/>
    </row>
    <row r="59" spans="1:18" s="123" customFormat="1" ht="30" customHeight="1" x14ac:dyDescent="0.2">
      <c r="A59" s="349"/>
      <c r="B59" s="266" t="s">
        <v>765</v>
      </c>
      <c r="C59" s="153"/>
      <c r="D59" s="148">
        <f>IFERROR(('TM3_ferrovia e metro'!E85/100),"0")</f>
        <v>0</v>
      </c>
      <c r="E59" s="148">
        <f>IFERROR(('TM3_ferrovia e metro'!E92/100),"0")</f>
        <v>0</v>
      </c>
      <c r="F59" s="148">
        <f>IFERROR(('TM3_ferrovia e metro'!E99/100),"")</f>
        <v>0</v>
      </c>
      <c r="G59" s="148">
        <f>IFERROR(('TM3_ferrovia e metro'!E106/100),"")</f>
        <v>0</v>
      </c>
      <c r="H59" s="148">
        <f>IFERROR(('TM3_ferrovia e metro'!E113/100),"")</f>
        <v>0</v>
      </c>
      <c r="I59" s="148">
        <f>IFERROR(('TM3_ferrovia e metro'!E121/100),"0")</f>
        <v>0</v>
      </c>
      <c r="J59" s="157"/>
      <c r="K59" s="157"/>
      <c r="L59" s="157"/>
      <c r="M59" s="157"/>
      <c r="N59" s="157"/>
      <c r="O59" s="157"/>
      <c r="P59" s="349"/>
      <c r="Q59" s="349"/>
      <c r="R59" s="349"/>
    </row>
    <row r="60" spans="1:18" s="123" customFormat="1" ht="30" customHeight="1" x14ac:dyDescent="0.2">
      <c r="B60" s="252"/>
      <c r="C60" s="153"/>
      <c r="D60" s="253"/>
      <c r="E60" s="253"/>
      <c r="F60" s="253"/>
      <c r="G60" s="253"/>
      <c r="H60" s="253"/>
      <c r="I60" s="141"/>
      <c r="J60" s="141"/>
      <c r="K60" s="141"/>
      <c r="L60" s="141"/>
      <c r="M60" s="141"/>
      <c r="N60" s="124"/>
      <c r="O60" s="124"/>
    </row>
    <row r="61" spans="1:18" s="123" customFormat="1" ht="68.45" customHeight="1" x14ac:dyDescent="0.2">
      <c r="B61" s="171" t="s">
        <v>764</v>
      </c>
      <c r="C61" s="172"/>
      <c r="D61" s="108" t="s">
        <v>329</v>
      </c>
      <c r="E61" s="108" t="s">
        <v>435</v>
      </c>
      <c r="F61" s="108" t="s">
        <v>436</v>
      </c>
      <c r="G61" s="108" t="s">
        <v>437</v>
      </c>
      <c r="H61" s="108" t="s">
        <v>438</v>
      </c>
      <c r="I61" s="108" t="s">
        <v>774</v>
      </c>
      <c r="J61" s="101"/>
      <c r="K61" s="101"/>
      <c r="L61" s="101"/>
      <c r="M61" s="101"/>
      <c r="N61" s="101"/>
      <c r="O61" s="101"/>
    </row>
    <row r="62" spans="1:18" s="123" customFormat="1" ht="30" customHeight="1" x14ac:dyDescent="0.2">
      <c r="B62" s="144" t="s">
        <v>262</v>
      </c>
      <c r="C62" s="146"/>
      <c r="D62" s="144">
        <f>IFERROR($G$10*D54," ")</f>
        <v>0</v>
      </c>
      <c r="E62" s="144">
        <f>IFERROR($G$11*E54,"0")</f>
        <v>0</v>
      </c>
      <c r="F62" s="144">
        <f>IFERROR($G$12*F54,"0")</f>
        <v>0</v>
      </c>
      <c r="G62" s="144">
        <f>IFERROR($G$13*G54,"")</f>
        <v>0</v>
      </c>
      <c r="H62" s="252">
        <f>IFERROR($G$14*H54,"")</f>
        <v>0</v>
      </c>
      <c r="I62" s="252">
        <f t="shared" ref="I62:I67" si="2">IFERROR($G$15*I54,"")</f>
        <v>0</v>
      </c>
      <c r="J62" s="141"/>
      <c r="K62" s="141"/>
      <c r="L62" s="141"/>
      <c r="M62" s="141"/>
      <c r="N62" s="141"/>
      <c r="O62" s="141"/>
    </row>
    <row r="63" spans="1:18" s="123" customFormat="1" ht="30" customHeight="1" x14ac:dyDescent="0.2">
      <c r="B63" s="144" t="s">
        <v>171</v>
      </c>
      <c r="C63" s="391"/>
      <c r="D63" s="144">
        <f>IFERROR($G$10*D55,"0")</f>
        <v>0</v>
      </c>
      <c r="E63" s="144">
        <f>IFERROR($G$11*E55,"0")</f>
        <v>0</v>
      </c>
      <c r="F63" s="144">
        <f>IFERROR($G$12*F55,"0")</f>
        <v>0</v>
      </c>
      <c r="G63" s="144">
        <f>IFERROR($G$13*G55,"0")</f>
        <v>0</v>
      </c>
      <c r="H63" s="144">
        <f>IFERROR($G$14*H55,"0")</f>
        <v>0</v>
      </c>
      <c r="I63" s="252">
        <f t="shared" si="2"/>
        <v>0</v>
      </c>
      <c r="J63" s="141"/>
      <c r="K63" s="141"/>
      <c r="L63" s="141"/>
      <c r="M63" s="141"/>
      <c r="N63" s="141"/>
      <c r="O63" s="141"/>
    </row>
    <row r="64" spans="1:18" s="123" customFormat="1" ht="30" customHeight="1" x14ac:dyDescent="0.2">
      <c r="B64" s="144" t="s">
        <v>205</v>
      </c>
      <c r="C64" s="149"/>
      <c r="D64" s="144">
        <f>IFERROR($G$10*D56,"0")</f>
        <v>0</v>
      </c>
      <c r="E64" s="144">
        <v>0</v>
      </c>
      <c r="F64" s="144">
        <v>0</v>
      </c>
      <c r="G64" s="144">
        <v>0</v>
      </c>
      <c r="H64" s="252">
        <f>IFERROR($G$14*H56,"0")</f>
        <v>0</v>
      </c>
      <c r="I64" s="252">
        <f t="shared" si="2"/>
        <v>0</v>
      </c>
      <c r="J64" s="141"/>
      <c r="K64" s="141"/>
      <c r="L64" s="141"/>
      <c r="M64" s="141"/>
      <c r="N64" s="141"/>
      <c r="O64" s="141"/>
    </row>
    <row r="65" spans="1:15" s="123" customFormat="1" ht="30" customHeight="1" x14ac:dyDescent="0.2">
      <c r="B65" s="144" t="s">
        <v>154</v>
      </c>
      <c r="C65" s="149"/>
      <c r="D65" s="144">
        <v>0</v>
      </c>
      <c r="E65" s="144">
        <f>IFERROR($G$11*E57,"0")</f>
        <v>0</v>
      </c>
      <c r="F65" s="144">
        <f>IFERROR($G$12*F57,"0")</f>
        <v>0</v>
      </c>
      <c r="G65" s="144">
        <f>IFERROR($G$13*G57,"0")</f>
        <v>0</v>
      </c>
      <c r="H65" s="252">
        <f>IFERROR($G$14*H57,"0")</f>
        <v>0</v>
      </c>
      <c r="I65" s="252">
        <f t="shared" si="2"/>
        <v>0</v>
      </c>
      <c r="J65" s="141"/>
      <c r="K65" s="141"/>
      <c r="L65" s="141"/>
      <c r="M65" s="141"/>
      <c r="N65" s="141"/>
      <c r="O65" s="141"/>
    </row>
    <row r="66" spans="1:15" s="123" customFormat="1" ht="30" customHeight="1" x14ac:dyDescent="0.2">
      <c r="B66" s="144" t="s">
        <v>770</v>
      </c>
      <c r="C66" s="149"/>
      <c r="D66" s="144">
        <f>IFERROR($G$10*D58,"0")</f>
        <v>0</v>
      </c>
      <c r="E66" s="144">
        <f>IFERROR($G$11*E58,"0")</f>
        <v>0</v>
      </c>
      <c r="F66" s="144">
        <f>IFERROR($G$12*F58,"0")</f>
        <v>0</v>
      </c>
      <c r="G66" s="144">
        <f>IFERROR($G$13*G58,"0")</f>
        <v>0</v>
      </c>
      <c r="H66" s="144" t="str">
        <f>IFERROR($G$14*H58,"0")</f>
        <v>0</v>
      </c>
      <c r="I66" s="252">
        <f t="shared" si="2"/>
        <v>0</v>
      </c>
      <c r="J66" s="141"/>
      <c r="K66" s="141"/>
      <c r="L66" s="141"/>
      <c r="M66" s="141"/>
      <c r="N66" s="141"/>
      <c r="O66" s="141"/>
    </row>
    <row r="67" spans="1:15" s="123" customFormat="1" ht="30" customHeight="1" x14ac:dyDescent="0.2">
      <c r="B67" s="144" t="s">
        <v>772</v>
      </c>
      <c r="C67" s="149"/>
      <c r="D67" s="144">
        <f>IFERROR($G$10*D59,"0")</f>
        <v>0</v>
      </c>
      <c r="E67" s="144">
        <f>IFERROR($G$11*E59,"0")</f>
        <v>0</v>
      </c>
      <c r="F67" s="144">
        <f>IFERROR($G$12*F59,"0")</f>
        <v>0</v>
      </c>
      <c r="G67" s="144">
        <f>IFERROR($G$13*G59,"0")</f>
        <v>0</v>
      </c>
      <c r="H67" s="252">
        <f>IFERROR($G$14*H59,"0")</f>
        <v>0</v>
      </c>
      <c r="I67" s="252">
        <f t="shared" si="2"/>
        <v>0</v>
      </c>
      <c r="J67" s="141"/>
      <c r="K67" s="141"/>
      <c r="L67" s="141"/>
      <c r="M67" s="141"/>
      <c r="N67" s="141"/>
      <c r="O67" s="141"/>
    </row>
    <row r="68" spans="1:15" s="123" customFormat="1" ht="30" customHeight="1" x14ac:dyDescent="0.2">
      <c r="B68" s="156"/>
      <c r="C68" s="149"/>
      <c r="D68" s="124"/>
      <c r="E68" s="124"/>
      <c r="F68" s="124"/>
      <c r="G68" s="124"/>
      <c r="H68" s="124"/>
      <c r="I68" s="124"/>
      <c r="J68" s="124"/>
      <c r="K68" s="124"/>
      <c r="L68" s="124"/>
      <c r="M68" s="124"/>
      <c r="N68" s="124"/>
      <c r="O68" s="124"/>
    </row>
    <row r="69" spans="1:15" s="123" customFormat="1" ht="60" customHeight="1" x14ac:dyDescent="0.2">
      <c r="B69" s="154" t="s">
        <v>292</v>
      </c>
      <c r="C69" s="155"/>
      <c r="D69" s="108" t="s">
        <v>434</v>
      </c>
      <c r="E69" s="108" t="s">
        <v>435</v>
      </c>
      <c r="F69" s="108" t="s">
        <v>436</v>
      </c>
      <c r="G69" s="108" t="s">
        <v>437</v>
      </c>
      <c r="H69" s="108" t="s">
        <v>438</v>
      </c>
      <c r="I69" s="108" t="s">
        <v>774</v>
      </c>
      <c r="J69" s="101"/>
      <c r="K69" s="101"/>
      <c r="L69" s="101"/>
      <c r="M69" s="101"/>
      <c r="N69" s="101"/>
      <c r="O69" s="101"/>
    </row>
    <row r="70" spans="1:15" s="123" customFormat="1" ht="30" customHeight="1" x14ac:dyDescent="0.2">
      <c r="B70" s="144" t="s">
        <v>262</v>
      </c>
      <c r="C70" s="150"/>
      <c r="D70" s="157">
        <f t="shared" ref="D70:I70" si="3">(D62*$E$46/1000)</f>
        <v>0</v>
      </c>
      <c r="E70" s="157">
        <f t="shared" si="3"/>
        <v>0</v>
      </c>
      <c r="F70" s="157">
        <f t="shared" si="3"/>
        <v>0</v>
      </c>
      <c r="G70" s="157">
        <f t="shared" si="3"/>
        <v>0</v>
      </c>
      <c r="H70" s="157">
        <f t="shared" si="3"/>
        <v>0</v>
      </c>
      <c r="I70" s="157">
        <f t="shared" si="3"/>
        <v>0</v>
      </c>
      <c r="J70" s="157"/>
      <c r="K70" s="157"/>
      <c r="L70" s="157"/>
      <c r="M70" s="157"/>
      <c r="N70" s="157"/>
      <c r="O70" s="157"/>
    </row>
    <row r="71" spans="1:15" s="123" customFormat="1" ht="30" customHeight="1" x14ac:dyDescent="0.2">
      <c r="B71" s="144" t="s">
        <v>171</v>
      </c>
      <c r="C71" s="150"/>
      <c r="D71" s="157">
        <f t="shared" ref="D71:G71" si="4">(D63*$J$42/1000)</f>
        <v>0</v>
      </c>
      <c r="E71" s="157">
        <f t="shared" si="4"/>
        <v>0</v>
      </c>
      <c r="F71" s="157">
        <f t="shared" si="4"/>
        <v>0</v>
      </c>
      <c r="G71" s="157">
        <f t="shared" si="4"/>
        <v>0</v>
      </c>
      <c r="H71" s="157">
        <f>(H63*$J$42/1000)</f>
        <v>0</v>
      </c>
      <c r="I71" s="157">
        <f>(I63*$J$42/1000)</f>
        <v>0</v>
      </c>
      <c r="J71" s="157"/>
      <c r="K71" s="157"/>
      <c r="L71" s="157"/>
      <c r="M71" s="157"/>
      <c r="N71" s="157"/>
      <c r="O71" s="157"/>
    </row>
    <row r="72" spans="1:15" s="123" customFormat="1" ht="30" customHeight="1" x14ac:dyDescent="0.2">
      <c r="A72" s="158"/>
      <c r="B72" s="144" t="s">
        <v>205</v>
      </c>
      <c r="C72" s="150"/>
      <c r="D72" s="157" t="e">
        <f>(D64*$H$46/1000)</f>
        <v>#N/A</v>
      </c>
      <c r="E72" s="157">
        <v>0</v>
      </c>
      <c r="F72" s="157">
        <v>0</v>
      </c>
      <c r="G72" s="157">
        <v>0</v>
      </c>
      <c r="H72" s="157" t="e">
        <f>(H64*$H$46/1000)</f>
        <v>#N/A</v>
      </c>
      <c r="I72" s="157" t="e">
        <f>(I64*$H$46/1000)</f>
        <v>#N/A</v>
      </c>
      <c r="J72" s="157"/>
      <c r="K72" s="157"/>
      <c r="L72" s="157"/>
      <c r="M72" s="157"/>
      <c r="N72" s="157"/>
      <c r="O72" s="157"/>
    </row>
    <row r="73" spans="1:15" s="123" customFormat="1" ht="30" customHeight="1" x14ac:dyDescent="0.2">
      <c r="B73" s="144" t="s">
        <v>154</v>
      </c>
      <c r="C73" s="150"/>
      <c r="D73" s="157">
        <v>0</v>
      </c>
      <c r="E73" s="157">
        <f>(E65*$H$48/1000)</f>
        <v>0</v>
      </c>
      <c r="F73" s="157">
        <f>(F65*$H$48/1000)</f>
        <v>0</v>
      </c>
      <c r="G73" s="157">
        <f>(G65*$H$48/1000)</f>
        <v>0</v>
      </c>
      <c r="H73" s="157">
        <f>(H65*$H$48/1000)</f>
        <v>0</v>
      </c>
      <c r="I73" s="157">
        <f>(I65*$H$48/1000)</f>
        <v>0</v>
      </c>
      <c r="J73" s="157"/>
      <c r="K73" s="157"/>
      <c r="L73" s="157"/>
      <c r="M73" s="157"/>
      <c r="N73" s="157"/>
      <c r="O73" s="157"/>
    </row>
    <row r="74" spans="1:15" s="123" customFormat="1" ht="30" customHeight="1" x14ac:dyDescent="0.2">
      <c r="B74" s="144" t="s">
        <v>339</v>
      </c>
      <c r="C74" s="150"/>
      <c r="D74" s="157">
        <f t="shared" ref="D74:G74" si="5">(D66*$H$50/1000)</f>
        <v>0</v>
      </c>
      <c r="E74" s="157">
        <f t="shared" si="5"/>
        <v>0</v>
      </c>
      <c r="F74" s="157">
        <f t="shared" si="5"/>
        <v>0</v>
      </c>
      <c r="G74" s="157">
        <f t="shared" si="5"/>
        <v>0</v>
      </c>
      <c r="H74" s="157">
        <f>(H66*$H$50/1000)</f>
        <v>0</v>
      </c>
      <c r="I74" s="157">
        <f>(I66*$H$50/1000)</f>
        <v>0</v>
      </c>
      <c r="J74" s="157"/>
      <c r="K74" s="157"/>
      <c r="L74" s="157"/>
      <c r="M74" s="157"/>
      <c r="N74" s="157"/>
      <c r="O74" s="157"/>
    </row>
    <row r="75" spans="1:15" s="123" customFormat="1" ht="30" customHeight="1" x14ac:dyDescent="0.2">
      <c r="B75" s="156" t="s">
        <v>773</v>
      </c>
      <c r="C75" s="150"/>
      <c r="D75" s="157">
        <f t="shared" ref="D75:G75" si="6">(D67*$H$49/1000)</f>
        <v>0</v>
      </c>
      <c r="E75" s="157">
        <f t="shared" si="6"/>
        <v>0</v>
      </c>
      <c r="F75" s="157">
        <f t="shared" si="6"/>
        <v>0</v>
      </c>
      <c r="G75" s="157">
        <f t="shared" si="6"/>
        <v>0</v>
      </c>
      <c r="H75" s="157">
        <f>(H67*$H$49/1000)</f>
        <v>0</v>
      </c>
      <c r="I75" s="157">
        <f>(I67*$H$49/1000)</f>
        <v>0</v>
      </c>
      <c r="J75" s="157"/>
      <c r="K75" s="157"/>
      <c r="L75" s="157"/>
      <c r="M75" s="157"/>
      <c r="N75" s="157"/>
      <c r="O75" s="157"/>
    </row>
    <row r="76" spans="1:15" ht="30" customHeight="1" x14ac:dyDescent="0.25">
      <c r="B76" s="250" t="s">
        <v>5</v>
      </c>
      <c r="C76" s="173"/>
      <c r="D76" s="174" t="e">
        <f>SUM(D70:D75)</f>
        <v>#N/A</v>
      </c>
      <c r="E76" s="174">
        <f>SUM(E70:E75)</f>
        <v>0</v>
      </c>
      <c r="F76" s="174">
        <f>SUM(F70:F75)</f>
        <v>0</v>
      </c>
      <c r="G76" s="174">
        <f t="shared" ref="G76" si="7">SUM(G70:G75)</f>
        <v>0</v>
      </c>
      <c r="H76" s="174" t="e">
        <f>SUM(H70:H75)</f>
        <v>#N/A</v>
      </c>
      <c r="I76" s="174" t="e">
        <f>SUM(I70:I75)</f>
        <v>#N/A</v>
      </c>
      <c r="J76" s="189"/>
      <c r="K76" s="189"/>
      <c r="L76" s="189"/>
      <c r="M76" s="189"/>
      <c r="N76" s="189"/>
      <c r="O76" s="189"/>
    </row>
    <row r="77" spans="1:15" ht="48" customHeight="1" x14ac:dyDescent="0.25">
      <c r="B77" s="3"/>
      <c r="C77" s="3"/>
      <c r="D77" s="189"/>
      <c r="E77" s="189"/>
      <c r="F77" s="268" t="s">
        <v>776</v>
      </c>
      <c r="G77" s="648" t="e">
        <f>SUM(D76:I76)</f>
        <v>#N/A</v>
      </c>
      <c r="H77" s="124"/>
      <c r="I77" s="189"/>
      <c r="J77" s="189"/>
      <c r="K77" s="1516"/>
      <c r="L77" s="1516"/>
      <c r="M77" s="361"/>
    </row>
    <row r="78" spans="1:15" ht="30" customHeight="1" x14ac:dyDescent="0.25">
      <c r="B78" s="3"/>
      <c r="C78" s="3"/>
      <c r="D78" s="189"/>
      <c r="E78" s="189"/>
      <c r="F78" s="189"/>
      <c r="G78" s="189"/>
      <c r="H78" s="124"/>
      <c r="I78" s="189"/>
      <c r="J78" s="189"/>
      <c r="K78" s="189"/>
      <c r="L78" s="189"/>
      <c r="M78" s="189"/>
    </row>
    <row r="79" spans="1:15" ht="30" customHeight="1" x14ac:dyDescent="0.25">
      <c r="B79" s="3"/>
      <c r="C79" s="3"/>
      <c r="D79" s="189"/>
      <c r="E79" s="189"/>
      <c r="F79" s="189"/>
      <c r="G79" s="189"/>
      <c r="H79" s="124"/>
      <c r="I79" s="189"/>
      <c r="J79" s="189"/>
      <c r="K79" s="189"/>
      <c r="L79" s="189"/>
      <c r="M79" s="189"/>
    </row>
    <row r="80" spans="1:15" s="190" customFormat="1" ht="70.150000000000006" customHeight="1" x14ac:dyDescent="0.35">
      <c r="B80" s="193" t="s">
        <v>775</v>
      </c>
      <c r="C80" s="191" t="e">
        <f>G77+G108</f>
        <v>#N/A</v>
      </c>
      <c r="D80" s="191"/>
      <c r="E80" s="191"/>
      <c r="F80" s="191"/>
      <c r="G80" s="1515"/>
      <c r="H80" s="1515"/>
      <c r="I80" s="191"/>
      <c r="J80" s="191"/>
      <c r="K80" s="191"/>
      <c r="L80" s="191"/>
      <c r="M80" s="191"/>
      <c r="N80" s="192"/>
      <c r="O80" s="197"/>
    </row>
    <row r="81" spans="1:25" s="194" customFormat="1" ht="30" customHeight="1" x14ac:dyDescent="0.35">
      <c r="B81" s="195"/>
      <c r="C81" s="196"/>
      <c r="D81" s="196"/>
      <c r="E81" s="196"/>
      <c r="F81" s="196"/>
      <c r="G81" s="196"/>
      <c r="H81" s="197"/>
      <c r="I81" s="196"/>
      <c r="J81" s="196"/>
      <c r="K81" s="196"/>
      <c r="L81" s="196"/>
      <c r="M81" s="196"/>
      <c r="N81" s="197"/>
      <c r="O81" s="197"/>
    </row>
    <row r="82" spans="1:25" s="198" customFormat="1" ht="30" customHeight="1" x14ac:dyDescent="0.25">
      <c r="B82" s="202" t="s">
        <v>757</v>
      </c>
      <c r="C82" s="199"/>
      <c r="D82" s="200"/>
      <c r="E82" s="200"/>
      <c r="F82" s="200"/>
      <c r="G82" s="200"/>
      <c r="H82" s="201"/>
      <c r="I82" s="200"/>
      <c r="J82" s="200"/>
      <c r="K82" s="200"/>
      <c r="L82" s="200"/>
      <c r="M82" s="200"/>
      <c r="N82" s="201"/>
      <c r="O82" s="1"/>
    </row>
    <row r="83" spans="1:25" s="1" customFormat="1" ht="30" customHeight="1" x14ac:dyDescent="0.25">
      <c r="A83"/>
      <c r="B83" s="3"/>
      <c r="C83" s="3"/>
      <c r="D83" s="189"/>
      <c r="E83" s="189"/>
      <c r="F83" s="189"/>
      <c r="G83" s="189"/>
      <c r="I83" s="189"/>
      <c r="J83" s="189"/>
      <c r="K83" s="189"/>
      <c r="L83" s="189"/>
      <c r="M83" s="189"/>
      <c r="P83"/>
      <c r="Q83"/>
      <c r="R83"/>
      <c r="S83"/>
      <c r="T83"/>
      <c r="U83"/>
      <c r="V83"/>
      <c r="W83"/>
      <c r="X83"/>
      <c r="Y83"/>
    </row>
    <row r="84" spans="1:25" s="1" customFormat="1" ht="30" customHeight="1" x14ac:dyDescent="0.25">
      <c r="A84"/>
      <c r="B84" s="176" t="s">
        <v>252</v>
      </c>
      <c r="C84" s="175"/>
      <c r="D84" s="177"/>
      <c r="E84" s="177"/>
      <c r="F84" s="177"/>
      <c r="G84" s="177"/>
      <c r="H84" s="177"/>
      <c r="I84" s="177"/>
      <c r="J84" s="177"/>
      <c r="K84" s="189"/>
      <c r="L84" s="189"/>
      <c r="M84" s="189"/>
      <c r="P84"/>
      <c r="Q84"/>
      <c r="R84"/>
      <c r="S84"/>
      <c r="T84"/>
      <c r="U84"/>
      <c r="V84"/>
      <c r="W84"/>
      <c r="X84"/>
      <c r="Y84"/>
    </row>
    <row r="85" spans="1:25" s="1" customFormat="1" ht="30" customHeight="1" x14ac:dyDescent="0.25">
      <c r="A85"/>
      <c r="B85" s="176"/>
      <c r="C85" s="175"/>
      <c r="D85" s="177"/>
      <c r="E85" s="177"/>
      <c r="F85" s="177"/>
      <c r="G85" s="177"/>
      <c r="H85" s="177"/>
      <c r="I85" s="177"/>
      <c r="J85" s="177"/>
      <c r="K85" s="189"/>
      <c r="L85" s="189"/>
      <c r="M85" s="189"/>
      <c r="P85"/>
      <c r="Q85"/>
      <c r="R85"/>
      <c r="S85"/>
      <c r="T85"/>
      <c r="U85"/>
      <c r="V85"/>
      <c r="W85"/>
      <c r="X85"/>
      <c r="Y85"/>
    </row>
    <row r="86" spans="1:25" s="1" customFormat="1" ht="30" customHeight="1" x14ac:dyDescent="0.25">
      <c r="A86"/>
      <c r="B86" s="120" t="s">
        <v>253</v>
      </c>
      <c r="C86" s="179" t="s">
        <v>77</v>
      </c>
      <c r="D86" s="122" t="s">
        <v>880</v>
      </c>
      <c r="E86" s="122" t="s">
        <v>256</v>
      </c>
      <c r="F86" s="177"/>
      <c r="G86" s="122" t="s">
        <v>258</v>
      </c>
      <c r="H86" s="122" t="s">
        <v>77</v>
      </c>
      <c r="I86" s="122" t="s">
        <v>880</v>
      </c>
      <c r="J86" s="122" t="s">
        <v>256</v>
      </c>
      <c r="K86" s="189"/>
      <c r="L86" s="189"/>
      <c r="M86" s="189"/>
      <c r="P86"/>
      <c r="Q86"/>
      <c r="R86"/>
      <c r="S86"/>
      <c r="T86"/>
      <c r="U86"/>
      <c r="V86"/>
      <c r="W86"/>
      <c r="X86"/>
      <c r="Y86"/>
    </row>
    <row r="87" spans="1:25" s="1" customFormat="1" ht="30" customHeight="1" x14ac:dyDescent="0.25">
      <c r="A87"/>
      <c r="B87" s="176" t="s">
        <v>125</v>
      </c>
      <c r="C87" s="178">
        <v>0.55000000000000004</v>
      </c>
      <c r="D87" s="180">
        <f>'Fatores de Emissão'!$I$99</f>
        <v>3.0562499999999999E-2</v>
      </c>
      <c r="E87" s="181">
        <f t="shared" ref="E87:E92" si="8">C87*D87</f>
        <v>1.6809375000000001E-2</v>
      </c>
      <c r="F87" s="177"/>
      <c r="G87" s="247" t="s">
        <v>125</v>
      </c>
      <c r="H87" s="388">
        <v>0.84</v>
      </c>
      <c r="I87" s="124">
        <f>'Fatores de Emissão'!I63</f>
        <v>6.4276816608996538E-3</v>
      </c>
      <c r="J87" s="389">
        <f>H87*I87</f>
        <v>5.3992525951557088E-3</v>
      </c>
      <c r="K87" s="189"/>
      <c r="L87" s="189"/>
      <c r="M87" s="189"/>
      <c r="P87"/>
      <c r="Q87"/>
      <c r="R87"/>
      <c r="S87"/>
      <c r="T87"/>
      <c r="U87"/>
      <c r="V87"/>
      <c r="W87"/>
      <c r="X87"/>
      <c r="Y87"/>
    </row>
    <row r="88" spans="1:25" s="1" customFormat="1" ht="30" customHeight="1" x14ac:dyDescent="0.25">
      <c r="A88"/>
      <c r="B88" s="176" t="s">
        <v>227</v>
      </c>
      <c r="C88" s="178">
        <v>0.38</v>
      </c>
      <c r="D88" s="180">
        <f>'Fatores de Emissão'!$I$93</f>
        <v>3.0562499999999999E-2</v>
      </c>
      <c r="E88" s="181">
        <f t="shared" si="8"/>
        <v>1.1613749999999999E-2</v>
      </c>
      <c r="F88" s="177"/>
      <c r="G88" s="247" t="s">
        <v>89</v>
      </c>
      <c r="H88" s="388">
        <v>0.16</v>
      </c>
      <c r="I88" s="124">
        <f>'Fatores de Emissão'!I68</f>
        <v>6.2449826989619374E-3</v>
      </c>
      <c r="J88" s="389">
        <f>H88*I88</f>
        <v>9.9919723183390999E-4</v>
      </c>
      <c r="K88" s="189"/>
      <c r="L88" s="189"/>
      <c r="M88" s="189"/>
      <c r="P88"/>
      <c r="Q88"/>
      <c r="R88"/>
      <c r="S88"/>
      <c r="T88"/>
      <c r="U88"/>
      <c r="V88"/>
      <c r="W88"/>
      <c r="X88"/>
      <c r="Y88"/>
    </row>
    <row r="89" spans="1:25" s="1" customFormat="1" ht="30" customHeight="1" x14ac:dyDescent="0.25">
      <c r="A89"/>
      <c r="B89" s="176" t="s">
        <v>230</v>
      </c>
      <c r="C89" s="178">
        <v>0.01</v>
      </c>
      <c r="D89" s="180">
        <f>'Fatores de Emissão'!$I$102</f>
        <v>3.0562499999999999E-2</v>
      </c>
      <c r="E89" s="181">
        <f t="shared" si="8"/>
        <v>3.0562500000000002E-4</v>
      </c>
      <c r="F89" s="177"/>
      <c r="G89" s="182" t="s">
        <v>246</v>
      </c>
      <c r="H89" s="182"/>
      <c r="I89" s="182"/>
      <c r="J89" s="182">
        <f>SUM(J83:J88)</f>
        <v>6.3984498269896188E-3</v>
      </c>
      <c r="K89" s="189"/>
      <c r="L89" s="189"/>
      <c r="M89" s="189"/>
      <c r="P89"/>
      <c r="Q89"/>
      <c r="R89"/>
      <c r="S89"/>
      <c r="T89"/>
      <c r="U89"/>
      <c r="V89"/>
      <c r="W89"/>
      <c r="X89"/>
      <c r="Y89"/>
    </row>
    <row r="90" spans="1:25" s="1" customFormat="1" ht="30" customHeight="1" x14ac:dyDescent="0.25">
      <c r="A90"/>
      <c r="B90" s="176" t="s">
        <v>255</v>
      </c>
      <c r="C90" s="178">
        <v>0.02</v>
      </c>
      <c r="D90" s="180">
        <f>'Fatores de Emissão'!$G$9</f>
        <v>8.712499999999998E-2</v>
      </c>
      <c r="E90" s="181">
        <f t="shared" si="8"/>
        <v>1.7424999999999997E-3</v>
      </c>
      <c r="F90" s="177"/>
      <c r="G90" s="177"/>
      <c r="H90" s="177"/>
      <c r="I90" s="177"/>
      <c r="J90" s="177"/>
      <c r="K90" s="189"/>
      <c r="L90" s="189"/>
      <c r="M90" s="189"/>
      <c r="P90"/>
      <c r="Q90"/>
      <c r="R90"/>
      <c r="S90"/>
      <c r="T90"/>
      <c r="U90"/>
      <c r="V90"/>
      <c r="W90"/>
      <c r="X90"/>
      <c r="Y90"/>
    </row>
    <row r="91" spans="1:25" s="1" customFormat="1" ht="30" customHeight="1" x14ac:dyDescent="0.25">
      <c r="A91"/>
      <c r="B91" s="176" t="s">
        <v>254</v>
      </c>
      <c r="C91" s="178">
        <v>0.02</v>
      </c>
      <c r="D91" s="180">
        <f>'Fatores de Emissão'!$I$96</f>
        <v>3.0562499999999999E-2</v>
      </c>
      <c r="E91" s="181">
        <f t="shared" si="8"/>
        <v>6.1125000000000003E-4</v>
      </c>
      <c r="F91" s="177"/>
      <c r="G91" s="177"/>
      <c r="H91" s="177"/>
      <c r="I91" s="177"/>
      <c r="J91" s="177"/>
      <c r="K91" s="189"/>
      <c r="L91" s="189"/>
      <c r="M91" s="189"/>
      <c r="P91"/>
      <c r="Q91"/>
      <c r="R91"/>
      <c r="S91"/>
      <c r="T91"/>
      <c r="U91"/>
      <c r="V91"/>
      <c r="W91"/>
      <c r="X91"/>
      <c r="Y91"/>
    </row>
    <row r="92" spans="1:25" s="1" customFormat="1" ht="30" customHeight="1" x14ac:dyDescent="0.25">
      <c r="A92"/>
      <c r="B92" s="176" t="s">
        <v>260</v>
      </c>
      <c r="C92" s="178">
        <v>0.02</v>
      </c>
      <c r="D92" s="180">
        <f>'Fatores de Emissão'!$G$10</f>
        <v>4.5937499999999992E-2</v>
      </c>
      <c r="E92" s="181">
        <f t="shared" si="8"/>
        <v>9.1874999999999986E-4</v>
      </c>
      <c r="F92" s="177"/>
      <c r="G92" s="188" t="s">
        <v>263</v>
      </c>
      <c r="H92" s="186" t="s">
        <v>9</v>
      </c>
      <c r="I92" s="177"/>
      <c r="J92" s="177"/>
      <c r="K92" s="189"/>
      <c r="L92" s="189"/>
      <c r="M92" s="189"/>
      <c r="P92"/>
      <c r="Q92"/>
      <c r="R92"/>
      <c r="S92"/>
      <c r="T92"/>
      <c r="U92"/>
      <c r="V92"/>
      <c r="W92"/>
      <c r="X92"/>
      <c r="Y92"/>
    </row>
    <row r="93" spans="1:25" s="1" customFormat="1" ht="30" customHeight="1" x14ac:dyDescent="0.25">
      <c r="A93"/>
      <c r="B93" s="182" t="s">
        <v>246</v>
      </c>
      <c r="C93" s="183">
        <f>SUM(C87:C92)</f>
        <v>1</v>
      </c>
      <c r="D93" s="122"/>
      <c r="E93" s="185">
        <f>SUM(E87:E92)</f>
        <v>3.2001250000000002E-2</v>
      </c>
      <c r="F93" s="177"/>
      <c r="G93" s="187" t="s">
        <v>275</v>
      </c>
      <c r="H93" s="177">
        <f>'Fatores de Emissão'!G50</f>
        <v>2E-3</v>
      </c>
      <c r="I93" s="177"/>
      <c r="J93" s="177"/>
      <c r="K93" s="189"/>
      <c r="L93" s="189"/>
      <c r="M93" s="189"/>
      <c r="P93"/>
      <c r="Q93"/>
      <c r="R93"/>
      <c r="S93"/>
      <c r="T93"/>
      <c r="U93"/>
      <c r="V93"/>
      <c r="W93"/>
      <c r="X93"/>
      <c r="Y93"/>
    </row>
    <row r="94" spans="1:25" s="1" customFormat="1" ht="30" customHeight="1" x14ac:dyDescent="0.25">
      <c r="A94"/>
      <c r="B94" s="175"/>
      <c r="C94" s="175"/>
      <c r="D94" s="177"/>
      <c r="E94" s="177"/>
      <c r="F94" s="177"/>
      <c r="G94" s="204"/>
      <c r="H94" s="270"/>
      <c r="I94" s="177"/>
      <c r="J94" s="177"/>
      <c r="K94" s="189"/>
      <c r="L94" s="189"/>
      <c r="M94" s="189"/>
      <c r="P94"/>
      <c r="Q94"/>
      <c r="R94"/>
      <c r="S94"/>
      <c r="T94"/>
      <c r="U94"/>
      <c r="V94"/>
      <c r="W94"/>
      <c r="X94"/>
      <c r="Y94"/>
    </row>
    <row r="95" spans="1:25" s="1" customFormat="1" ht="30" customHeight="1" x14ac:dyDescent="0.25">
      <c r="A95"/>
      <c r="B95" s="175"/>
      <c r="C95" s="175"/>
      <c r="D95" s="177"/>
      <c r="E95" s="177"/>
      <c r="F95" s="177"/>
      <c r="G95" s="187" t="s">
        <v>154</v>
      </c>
      <c r="H95" s="177">
        <f>'Fatores de Emissão'!G47</f>
        <v>2E-3</v>
      </c>
      <c r="I95" s="177"/>
      <c r="J95" s="177"/>
      <c r="K95" s="189"/>
      <c r="L95" s="189"/>
      <c r="M95" s="189"/>
      <c r="P95"/>
      <c r="Q95"/>
      <c r="R95"/>
      <c r="S95"/>
      <c r="T95"/>
      <c r="U95"/>
      <c r="V95"/>
      <c r="W95"/>
      <c r="X95"/>
      <c r="Y95"/>
    </row>
    <row r="96" spans="1:25" s="1" customFormat="1" ht="30" customHeight="1" x14ac:dyDescent="0.25">
      <c r="A96"/>
      <c r="B96" s="175"/>
      <c r="C96" s="175"/>
      <c r="D96" s="177"/>
      <c r="E96" s="177"/>
      <c r="F96" s="177"/>
      <c r="G96" s="187" t="s">
        <v>110</v>
      </c>
      <c r="H96" s="177">
        <v>0</v>
      </c>
      <c r="I96" s="177"/>
      <c r="J96" s="177"/>
      <c r="K96" s="189"/>
      <c r="L96" s="189"/>
      <c r="M96" s="189"/>
      <c r="P96"/>
      <c r="Q96"/>
      <c r="R96"/>
      <c r="S96"/>
      <c r="T96"/>
      <c r="U96"/>
      <c r="V96"/>
      <c r="W96"/>
      <c r="X96"/>
      <c r="Y96"/>
    </row>
    <row r="97" spans="1:25" s="1" customFormat="1" ht="30" customHeight="1" x14ac:dyDescent="0.25">
      <c r="A97"/>
      <c r="B97" s="175"/>
      <c r="C97" s="175"/>
      <c r="D97" s="177"/>
      <c r="E97" s="177"/>
      <c r="F97" s="177"/>
      <c r="G97" s="187" t="s">
        <v>339</v>
      </c>
      <c r="H97" s="177">
        <f>'Fatores de Emissão'!G46</f>
        <v>1.8935294117647057E-2</v>
      </c>
      <c r="I97" s="177"/>
      <c r="J97" s="177"/>
      <c r="K97" s="189"/>
      <c r="L97" s="189"/>
      <c r="M97" s="189"/>
      <c r="P97"/>
      <c r="Q97"/>
      <c r="R97"/>
      <c r="S97"/>
      <c r="T97"/>
      <c r="U97"/>
      <c r="V97"/>
      <c r="W97"/>
      <c r="X97"/>
      <c r="Y97"/>
    </row>
    <row r="98" spans="1:25" s="1" customFormat="1" ht="30" customHeight="1" x14ac:dyDescent="0.25">
      <c r="A98"/>
      <c r="B98" s="175"/>
      <c r="C98" s="175"/>
      <c r="D98" s="177"/>
      <c r="E98" s="177"/>
      <c r="F98" s="177"/>
      <c r="G98" s="187"/>
      <c r="H98" s="177"/>
      <c r="I98" s="177"/>
      <c r="J98" s="177"/>
      <c r="K98" s="189"/>
      <c r="L98" s="189"/>
      <c r="M98" s="189"/>
      <c r="P98"/>
      <c r="Q98"/>
      <c r="R98"/>
      <c r="S98"/>
      <c r="T98"/>
      <c r="U98"/>
      <c r="V98"/>
      <c r="W98"/>
      <c r="X98"/>
      <c r="Y98"/>
    </row>
    <row r="99" spans="1:25" ht="30" customHeight="1" x14ac:dyDescent="0.25">
      <c r="B99" s="175"/>
      <c r="C99" s="175"/>
      <c r="D99" s="177"/>
      <c r="E99" s="177"/>
      <c r="F99" s="177"/>
      <c r="G99" s="187"/>
      <c r="H99" s="177"/>
      <c r="I99" s="177"/>
      <c r="J99" s="177"/>
      <c r="K99" s="189"/>
      <c r="L99" s="189"/>
      <c r="M99" s="189"/>
    </row>
    <row r="100" spans="1:25" ht="49.9" customHeight="1" x14ac:dyDescent="0.25">
      <c r="B100" s="154" t="s">
        <v>292</v>
      </c>
      <c r="C100" s="155"/>
      <c r="D100" s="108" t="s">
        <v>434</v>
      </c>
      <c r="E100" s="108" t="s">
        <v>435</v>
      </c>
      <c r="F100" s="108" t="s">
        <v>436</v>
      </c>
      <c r="G100" s="108" t="s">
        <v>437</v>
      </c>
      <c r="H100" s="108" t="s">
        <v>438</v>
      </c>
      <c r="I100" s="108" t="s">
        <v>774</v>
      </c>
      <c r="J100" s="348"/>
      <c r="K100" s="348"/>
      <c r="L100" s="348"/>
      <c r="M100" s="348"/>
      <c r="N100" s="348"/>
      <c r="O100" s="101"/>
    </row>
    <row r="101" spans="1:25" ht="49.9" customHeight="1" x14ac:dyDescent="0.25">
      <c r="B101" s="144" t="s">
        <v>262</v>
      </c>
      <c r="C101" s="150"/>
      <c r="D101" s="157">
        <f t="shared" ref="D101:I101" si="9">(D62*$E$93/1000)</f>
        <v>0</v>
      </c>
      <c r="E101" s="157">
        <f t="shared" si="9"/>
        <v>0</v>
      </c>
      <c r="F101" s="157">
        <f t="shared" si="9"/>
        <v>0</v>
      </c>
      <c r="G101" s="157">
        <f t="shared" si="9"/>
        <v>0</v>
      </c>
      <c r="H101" s="157">
        <f t="shared" si="9"/>
        <v>0</v>
      </c>
      <c r="I101" s="157">
        <f t="shared" si="9"/>
        <v>0</v>
      </c>
      <c r="J101" s="157"/>
      <c r="K101" s="157"/>
      <c r="L101" s="157"/>
      <c r="M101" s="157"/>
      <c r="N101" s="157"/>
      <c r="O101" s="157"/>
    </row>
    <row r="102" spans="1:25" ht="49.9" customHeight="1" x14ac:dyDescent="0.25">
      <c r="B102" s="144" t="s">
        <v>171</v>
      </c>
      <c r="C102" s="150"/>
      <c r="D102" s="157">
        <f t="shared" ref="D102:I102" si="10">(D63*$J$89/1000)</f>
        <v>0</v>
      </c>
      <c r="E102" s="157">
        <f t="shared" si="10"/>
        <v>0</v>
      </c>
      <c r="F102" s="157">
        <f t="shared" si="10"/>
        <v>0</v>
      </c>
      <c r="G102" s="157">
        <f t="shared" si="10"/>
        <v>0</v>
      </c>
      <c r="H102" s="157">
        <f t="shared" si="10"/>
        <v>0</v>
      </c>
      <c r="I102" s="157">
        <f t="shared" si="10"/>
        <v>0</v>
      </c>
      <c r="J102" s="157"/>
      <c r="K102" s="157"/>
      <c r="L102" s="157"/>
      <c r="M102" s="157"/>
      <c r="N102" s="157"/>
      <c r="O102" s="157"/>
    </row>
    <row r="103" spans="1:25" ht="49.9" customHeight="1" x14ac:dyDescent="0.25">
      <c r="B103" s="144" t="s">
        <v>205</v>
      </c>
      <c r="C103" s="150"/>
      <c r="D103" s="157">
        <f>(D64*$H$93/1000)</f>
        <v>0</v>
      </c>
      <c r="E103" s="392">
        <v>0</v>
      </c>
      <c r="F103" s="392">
        <v>0</v>
      </c>
      <c r="G103" s="392">
        <v>0</v>
      </c>
      <c r="H103" s="157">
        <f>(H64*$H$93/1000)</f>
        <v>0</v>
      </c>
      <c r="I103" s="157">
        <f>(I64*$H$93/1000)</f>
        <v>0</v>
      </c>
      <c r="J103" s="157"/>
      <c r="K103" s="392"/>
      <c r="L103" s="392"/>
      <c r="M103" s="392"/>
      <c r="N103" s="157"/>
      <c r="O103" s="157"/>
    </row>
    <row r="104" spans="1:25" ht="49.9" customHeight="1" x14ac:dyDescent="0.25">
      <c r="A104" s="101"/>
      <c r="B104" s="144" t="s">
        <v>154</v>
      </c>
      <c r="C104" s="150"/>
      <c r="D104" s="392">
        <v>0</v>
      </c>
      <c r="E104" s="157">
        <f>(E65*$H$95/1000)</f>
        <v>0</v>
      </c>
      <c r="F104" s="530">
        <f>(F65*$H$95/1000)</f>
        <v>0</v>
      </c>
      <c r="G104" s="530">
        <f>(G65*$H$95/1000)</f>
        <v>0</v>
      </c>
      <c r="H104" s="530">
        <f>(H65*$H$95/1000)</f>
        <v>0</v>
      </c>
      <c r="I104" s="530">
        <f>(I65*$H$95/1000)</f>
        <v>0</v>
      </c>
      <c r="J104" s="392"/>
      <c r="K104" s="157"/>
      <c r="L104" s="157"/>
      <c r="M104" s="157"/>
      <c r="N104" s="157"/>
      <c r="O104" s="157"/>
    </row>
    <row r="105" spans="1:25" ht="49.9" customHeight="1" x14ac:dyDescent="0.25">
      <c r="A105" s="101"/>
      <c r="B105" s="144" t="s">
        <v>339</v>
      </c>
      <c r="C105" s="150"/>
      <c r="D105" s="530">
        <f t="shared" ref="D105:I105" si="11">(D66*$H$97/1000)</f>
        <v>0</v>
      </c>
      <c r="E105" s="530">
        <f t="shared" si="11"/>
        <v>0</v>
      </c>
      <c r="F105" s="530">
        <f t="shared" si="11"/>
        <v>0</v>
      </c>
      <c r="G105" s="530">
        <f t="shared" si="11"/>
        <v>0</v>
      </c>
      <c r="H105" s="530">
        <f t="shared" si="11"/>
        <v>0</v>
      </c>
      <c r="I105" s="530">
        <f t="shared" si="11"/>
        <v>0</v>
      </c>
      <c r="J105" s="392"/>
      <c r="K105" s="157"/>
      <c r="L105" s="157"/>
      <c r="M105" s="157"/>
      <c r="N105" s="157"/>
      <c r="O105" s="157"/>
    </row>
    <row r="106" spans="1:25" ht="49.9" customHeight="1" x14ac:dyDescent="0.25">
      <c r="A106" s="141"/>
      <c r="B106" s="156" t="s">
        <v>777</v>
      </c>
      <c r="C106" s="150"/>
      <c r="D106" s="157">
        <f t="shared" ref="D106:I106" si="12">(D67*$H$96/1000)</f>
        <v>0</v>
      </c>
      <c r="E106" s="157">
        <f t="shared" si="12"/>
        <v>0</v>
      </c>
      <c r="F106" s="157">
        <f t="shared" si="12"/>
        <v>0</v>
      </c>
      <c r="G106" s="157">
        <f t="shared" si="12"/>
        <v>0</v>
      </c>
      <c r="H106" s="157">
        <f t="shared" si="12"/>
        <v>0</v>
      </c>
      <c r="I106" s="157">
        <f t="shared" si="12"/>
        <v>0</v>
      </c>
      <c r="J106" s="157"/>
      <c r="K106" s="157"/>
      <c r="L106" s="157"/>
      <c r="M106" s="157"/>
      <c r="N106" s="157"/>
      <c r="O106" s="157"/>
    </row>
    <row r="107" spans="1:25" ht="49.9" customHeight="1" x14ac:dyDescent="0.25">
      <c r="A107" s="349"/>
      <c r="B107" s="250" t="s">
        <v>5</v>
      </c>
      <c r="C107" s="173"/>
      <c r="D107" s="174">
        <f>SUM(D101:D106)</f>
        <v>0</v>
      </c>
      <c r="E107" s="174">
        <f>SUM(E101:E106)</f>
        <v>0</v>
      </c>
      <c r="F107" s="174">
        <f t="shared" ref="F107:I107" si="13">SUM(F101:F106)</f>
        <v>0</v>
      </c>
      <c r="G107" s="174">
        <f t="shared" si="13"/>
        <v>0</v>
      </c>
      <c r="H107" s="174">
        <f t="shared" si="13"/>
        <v>0</v>
      </c>
      <c r="I107" s="174">
        <f t="shared" si="13"/>
        <v>0</v>
      </c>
      <c r="J107" s="189"/>
      <c r="K107" s="189"/>
      <c r="L107" s="189"/>
      <c r="M107" s="189"/>
      <c r="N107" s="189"/>
      <c r="O107" s="189"/>
    </row>
    <row r="108" spans="1:25" ht="49.9" customHeight="1" x14ac:dyDescent="0.25">
      <c r="A108" s="349"/>
      <c r="B108" s="3"/>
      <c r="C108" s="3"/>
      <c r="D108" s="189"/>
      <c r="E108" s="189"/>
      <c r="F108" s="268" t="s">
        <v>782</v>
      </c>
      <c r="G108" s="269">
        <f>SUM(D107:I107)</f>
        <v>0</v>
      </c>
      <c r="H108" s="124"/>
      <c r="I108" s="189"/>
      <c r="J108" s="189"/>
      <c r="K108" s="189"/>
      <c r="L108" s="360"/>
      <c r="M108" s="361"/>
    </row>
    <row r="109" spans="1:25" ht="30" customHeight="1" x14ac:dyDescent="0.25">
      <c r="A109" s="349"/>
      <c r="B109" s="141"/>
      <c r="C109" s="356"/>
      <c r="D109" s="157"/>
      <c r="E109" s="157"/>
      <c r="F109" s="157"/>
      <c r="G109" s="157"/>
      <c r="H109" s="157"/>
      <c r="I109" s="349"/>
      <c r="J109" s="349"/>
      <c r="K109" s="349"/>
      <c r="L109" s="349"/>
      <c r="M109" s="349"/>
    </row>
    <row r="110" spans="1:25" ht="30" customHeight="1" x14ac:dyDescent="0.25">
      <c r="A110" s="349"/>
      <c r="B110" s="141"/>
      <c r="C110" s="356"/>
      <c r="D110" s="157"/>
      <c r="E110" s="157"/>
      <c r="F110" s="157"/>
      <c r="G110" s="157"/>
      <c r="H110" s="157"/>
      <c r="I110" s="349"/>
      <c r="J110" s="349"/>
      <c r="K110" s="349"/>
      <c r="L110" s="349"/>
      <c r="M110" s="349"/>
    </row>
    <row r="111" spans="1:25" ht="30" customHeight="1" x14ac:dyDescent="0.25">
      <c r="A111" s="349"/>
      <c r="B111" s="141"/>
      <c r="C111" s="356"/>
      <c r="D111" s="157"/>
      <c r="E111" s="157"/>
      <c r="F111" s="157"/>
      <c r="G111" s="157"/>
      <c r="H111" s="157"/>
      <c r="I111" s="349"/>
      <c r="J111" s="349"/>
      <c r="K111" s="349"/>
      <c r="L111" s="349"/>
      <c r="M111" s="349"/>
    </row>
    <row r="112" spans="1:25" ht="30" customHeight="1" x14ac:dyDescent="0.25">
      <c r="A112" s="123"/>
      <c r="B112" s="1517"/>
      <c r="C112" s="1517"/>
      <c r="D112" s="1517"/>
      <c r="E112" s="1517"/>
      <c r="F112" s="157"/>
      <c r="G112" s="1407" t="s">
        <v>282</v>
      </c>
      <c r="H112" s="1407"/>
      <c r="I112" s="1407"/>
      <c r="J112" s="1407"/>
      <c r="K112" s="141"/>
      <c r="L112" s="141"/>
      <c r="M112" s="141"/>
    </row>
    <row r="113" spans="1:25" ht="70.150000000000006" customHeight="1" x14ac:dyDescent="0.25">
      <c r="A113" s="123"/>
      <c r="B113" s="223"/>
      <c r="C113" s="211"/>
      <c r="D113" s="211"/>
      <c r="E113" s="211"/>
      <c r="F113" s="101"/>
      <c r="G113" s="491" t="s">
        <v>783</v>
      </c>
      <c r="H113" s="228" t="s">
        <v>3</v>
      </c>
      <c r="I113" s="591" t="s">
        <v>671</v>
      </c>
      <c r="J113" s="591" t="s">
        <v>673</v>
      </c>
      <c r="K113" s="101"/>
      <c r="L113" s="101"/>
      <c r="M113" s="101"/>
    </row>
    <row r="114" spans="1:25" ht="49.9" customHeight="1" x14ac:dyDescent="0.25">
      <c r="A114" s="123"/>
      <c r="B114" s="291"/>
      <c r="C114" s="394"/>
      <c r="D114" s="649"/>
      <c r="E114" s="503"/>
      <c r="F114" s="141"/>
      <c r="G114" s="298" t="s">
        <v>329</v>
      </c>
      <c r="H114" s="224"/>
      <c r="I114" s="230"/>
      <c r="J114" s="225"/>
      <c r="K114" s="141"/>
      <c r="L114" s="141"/>
      <c r="M114" s="141"/>
    </row>
    <row r="115" spans="1:25" ht="49.9" customHeight="1" x14ac:dyDescent="0.25">
      <c r="A115" s="123"/>
      <c r="B115" s="291"/>
      <c r="C115" s="394"/>
      <c r="D115" s="503"/>
      <c r="E115" s="503"/>
      <c r="F115" s="141"/>
      <c r="G115" s="329" t="s">
        <v>785</v>
      </c>
      <c r="H115" s="330" t="s">
        <v>359</v>
      </c>
      <c r="I115" s="520" t="str">
        <f>IFERROR(I116-I117,"")</f>
        <v/>
      </c>
      <c r="J115" s="520" t="str">
        <f>IFERROR(J116-J117,"")</f>
        <v/>
      </c>
      <c r="K115" s="141"/>
      <c r="L115" s="141"/>
      <c r="M115" s="141"/>
    </row>
    <row r="116" spans="1:25" s="1" customFormat="1" ht="49.9" customHeight="1" x14ac:dyDescent="0.25">
      <c r="A116" s="123"/>
      <c r="B116" s="291"/>
      <c r="C116" s="394"/>
      <c r="D116" s="650"/>
      <c r="E116" s="650"/>
      <c r="F116" s="141"/>
      <c r="G116" s="331" t="s">
        <v>334</v>
      </c>
      <c r="H116" s="332" t="s">
        <v>359</v>
      </c>
      <c r="I116" s="449">
        <f>IFERROR(K10,"")</f>
        <v>0</v>
      </c>
      <c r="J116" s="450">
        <f>IFERROR(N10,"")</f>
        <v>0</v>
      </c>
      <c r="K116" s="141"/>
      <c r="L116" s="141"/>
      <c r="M116" s="141"/>
      <c r="P116"/>
      <c r="Q116"/>
      <c r="R116"/>
      <c r="S116"/>
      <c r="T116"/>
      <c r="U116"/>
      <c r="V116"/>
      <c r="W116"/>
      <c r="X116"/>
      <c r="Y116"/>
    </row>
    <row r="117" spans="1:25" s="1" customFormat="1" ht="49.9" customHeight="1" x14ac:dyDescent="0.25">
      <c r="A117" s="123"/>
      <c r="B117" s="291"/>
      <c r="C117" s="394"/>
      <c r="D117" s="503"/>
      <c r="E117" s="503"/>
      <c r="F117" s="141"/>
      <c r="G117" s="333" t="s">
        <v>360</v>
      </c>
      <c r="H117" s="334" t="s">
        <v>359</v>
      </c>
      <c r="I117" s="318" t="str">
        <f>IFERROR(D76,"")</f>
        <v/>
      </c>
      <c r="J117" s="319" t="str">
        <f>IFERROR(D107+I117,"")</f>
        <v/>
      </c>
      <c r="K117" s="141"/>
      <c r="L117" s="141"/>
      <c r="M117" s="141"/>
      <c r="P117"/>
      <c r="Q117"/>
      <c r="R117"/>
      <c r="S117"/>
      <c r="T117"/>
      <c r="U117"/>
      <c r="V117"/>
      <c r="W117"/>
      <c r="X117"/>
      <c r="Y117"/>
    </row>
    <row r="118" spans="1:25" s="1" customFormat="1" ht="49.9" customHeight="1" x14ac:dyDescent="0.25">
      <c r="A118" s="123"/>
      <c r="B118" s="291"/>
      <c r="C118" s="394"/>
      <c r="D118" s="503"/>
      <c r="E118" s="503"/>
      <c r="F118" s="141"/>
      <c r="G118" s="1508" t="s">
        <v>330</v>
      </c>
      <c r="H118" s="1509"/>
      <c r="I118" s="1509"/>
      <c r="J118" s="225"/>
      <c r="K118" s="141"/>
      <c r="L118" s="141"/>
      <c r="M118" s="141"/>
      <c r="P118"/>
      <c r="Q118"/>
      <c r="R118"/>
      <c r="S118"/>
      <c r="T118"/>
      <c r="U118"/>
      <c r="V118"/>
      <c r="W118"/>
      <c r="X118"/>
      <c r="Y118"/>
    </row>
    <row r="119" spans="1:25" s="1" customFormat="1" ht="49.9" customHeight="1" x14ac:dyDescent="0.25">
      <c r="A119" s="123"/>
      <c r="B119" s="291"/>
      <c r="C119" s="307"/>
      <c r="D119" s="503"/>
      <c r="E119" s="503"/>
      <c r="F119" s="124"/>
      <c r="G119" s="329" t="s">
        <v>785</v>
      </c>
      <c r="H119" s="326" t="s">
        <v>353</v>
      </c>
      <c r="I119" s="520">
        <f>IFERROR(I120-I121,"")</f>
        <v>0</v>
      </c>
      <c r="J119" s="520">
        <f>IFERROR(J120-J121,"")</f>
        <v>0</v>
      </c>
      <c r="K119" s="124"/>
      <c r="L119" s="124"/>
      <c r="M119" s="124"/>
      <c r="P119"/>
      <c r="Q119"/>
      <c r="R119"/>
      <c r="S119"/>
      <c r="T119"/>
      <c r="U119"/>
      <c r="V119"/>
      <c r="W119"/>
      <c r="X119"/>
      <c r="Y119"/>
    </row>
    <row r="120" spans="1:25" s="1" customFormat="1" ht="49.9" customHeight="1" x14ac:dyDescent="0.25">
      <c r="A120" s="123"/>
      <c r="B120" s="87"/>
      <c r="C120" s="88"/>
      <c r="D120" s="88"/>
      <c r="E120" s="88"/>
      <c r="F120" s="101"/>
      <c r="G120" s="331" t="s">
        <v>334</v>
      </c>
      <c r="H120" s="327" t="s">
        <v>353</v>
      </c>
      <c r="I120" s="449">
        <f>IFERROR(K11,"")</f>
        <v>0</v>
      </c>
      <c r="J120" s="450">
        <f>IFERROR(N11,"")</f>
        <v>0</v>
      </c>
      <c r="K120" s="101"/>
      <c r="L120" s="101"/>
      <c r="M120" s="101"/>
      <c r="P120"/>
      <c r="Q120"/>
      <c r="R120"/>
      <c r="S120"/>
      <c r="T120"/>
      <c r="U120"/>
      <c r="V120"/>
      <c r="W120"/>
      <c r="X120"/>
      <c r="Y120"/>
    </row>
    <row r="121" spans="1:25" s="1" customFormat="1" ht="49.9" customHeight="1" x14ac:dyDescent="0.25">
      <c r="A121" s="123"/>
      <c r="B121" s="1411" t="s">
        <v>778</v>
      </c>
      <c r="C121" s="1407"/>
      <c r="D121" s="1407"/>
      <c r="E121" s="1407"/>
      <c r="F121" s="157"/>
      <c r="G121" s="333" t="s">
        <v>360</v>
      </c>
      <c r="H121" s="328" t="s">
        <v>353</v>
      </c>
      <c r="I121" s="318">
        <f>IFERROR(E76,"")</f>
        <v>0</v>
      </c>
      <c r="J121" s="319">
        <f>IFERROR(E107+I121,"")</f>
        <v>0</v>
      </c>
      <c r="K121" s="157"/>
      <c r="L121" s="157"/>
      <c r="M121" s="157"/>
      <c r="P121"/>
      <c r="Q121"/>
      <c r="R121"/>
      <c r="S121"/>
      <c r="T121"/>
      <c r="U121"/>
      <c r="V121"/>
      <c r="W121"/>
      <c r="X121"/>
      <c r="Y121"/>
    </row>
    <row r="122" spans="1:25" s="1" customFormat="1" ht="49.9" customHeight="1" x14ac:dyDescent="0.25">
      <c r="A122" s="123"/>
      <c r="B122" s="231" t="s">
        <v>114</v>
      </c>
      <c r="C122" s="228" t="s">
        <v>3</v>
      </c>
      <c r="D122" s="228" t="s">
        <v>756</v>
      </c>
      <c r="E122" s="228" t="s">
        <v>757</v>
      </c>
      <c r="F122" s="157"/>
      <c r="G122" s="310" t="s">
        <v>331</v>
      </c>
      <c r="H122" s="484"/>
      <c r="I122" s="484"/>
      <c r="J122" s="300"/>
      <c r="K122" s="157"/>
      <c r="L122" s="157"/>
      <c r="M122" s="157"/>
      <c r="P122"/>
      <c r="Q122"/>
      <c r="R122"/>
      <c r="S122"/>
      <c r="T122"/>
      <c r="U122"/>
      <c r="V122"/>
      <c r="W122"/>
      <c r="X122"/>
      <c r="Y122"/>
    </row>
    <row r="123" spans="1:25" s="1" customFormat="1" ht="49.9" customHeight="1" x14ac:dyDescent="0.25">
      <c r="A123" s="158"/>
      <c r="B123" s="311" t="s">
        <v>505</v>
      </c>
      <c r="C123" s="232" t="s">
        <v>136</v>
      </c>
      <c r="D123" s="487" t="str">
        <f>IFERROR(D124-D125,"")</f>
        <v/>
      </c>
      <c r="E123" s="487" t="str">
        <f>IFERROR(E124-E125,"")</f>
        <v/>
      </c>
      <c r="F123" s="157"/>
      <c r="G123" s="329" t="s">
        <v>785</v>
      </c>
      <c r="H123" s="326" t="s">
        <v>353</v>
      </c>
      <c r="I123" s="520">
        <f>IFERROR(I124-I125,"")</f>
        <v>0</v>
      </c>
      <c r="J123" s="520">
        <f>IFERROR(J124-J125,"")</f>
        <v>0</v>
      </c>
      <c r="K123" s="157"/>
      <c r="L123" s="157"/>
      <c r="M123" s="157"/>
      <c r="P123"/>
      <c r="Q123"/>
      <c r="R123"/>
      <c r="S123"/>
      <c r="T123"/>
      <c r="U123"/>
      <c r="V123"/>
      <c r="W123"/>
      <c r="X123"/>
      <c r="Y123"/>
    </row>
    <row r="124" spans="1:25" s="1" customFormat="1" ht="49.9" customHeight="1" x14ac:dyDescent="0.25">
      <c r="A124" s="123"/>
      <c r="B124" s="313" t="s">
        <v>354</v>
      </c>
      <c r="C124" s="233" t="s">
        <v>136</v>
      </c>
      <c r="D124" s="489">
        <f>K16</f>
        <v>0</v>
      </c>
      <c r="E124" s="489">
        <f>IFERROR(N16,"")</f>
        <v>0</v>
      </c>
      <c r="F124" s="157"/>
      <c r="G124" s="331" t="s">
        <v>334</v>
      </c>
      <c r="H124" s="327" t="s">
        <v>353</v>
      </c>
      <c r="I124" s="449">
        <f>K12</f>
        <v>0</v>
      </c>
      <c r="J124" s="450">
        <f>IFERROR(N12,"")</f>
        <v>0</v>
      </c>
      <c r="K124" s="157"/>
      <c r="L124" s="157"/>
      <c r="M124" s="157"/>
      <c r="P124"/>
      <c r="Q124"/>
      <c r="R124"/>
      <c r="S124"/>
      <c r="T124"/>
      <c r="U124"/>
      <c r="V124"/>
      <c r="W124"/>
      <c r="X124"/>
      <c r="Y124"/>
    </row>
    <row r="125" spans="1:25" s="1" customFormat="1" ht="49.9" customHeight="1" x14ac:dyDescent="0.25">
      <c r="A125" s="123"/>
      <c r="B125" s="316" t="s">
        <v>355</v>
      </c>
      <c r="C125" s="234" t="s">
        <v>136</v>
      </c>
      <c r="D125" s="490" t="str">
        <f>IFERROR(G77,"")</f>
        <v/>
      </c>
      <c r="E125" s="494" t="str">
        <f>IFERROR(C80,"")</f>
        <v/>
      </c>
      <c r="F125" s="157"/>
      <c r="G125" s="333" t="s">
        <v>360</v>
      </c>
      <c r="H125" s="328" t="s">
        <v>353</v>
      </c>
      <c r="I125" s="318">
        <f>IFERROR(F76,"")</f>
        <v>0</v>
      </c>
      <c r="J125" s="319">
        <f>IFERROR(F107+I125,"")</f>
        <v>0</v>
      </c>
      <c r="K125" s="157"/>
      <c r="L125" s="157"/>
      <c r="M125" s="157"/>
      <c r="P125"/>
      <c r="Q125"/>
      <c r="R125"/>
      <c r="S125"/>
      <c r="T125"/>
      <c r="U125"/>
      <c r="V125"/>
      <c r="W125"/>
      <c r="X125"/>
      <c r="Y125"/>
    </row>
    <row r="126" spans="1:25" s="1" customFormat="1" ht="49.9" customHeight="1" x14ac:dyDescent="0.25">
      <c r="A126"/>
      <c r="B126" s="320" t="s">
        <v>475</v>
      </c>
      <c r="C126" s="235" t="s">
        <v>784</v>
      </c>
      <c r="D126" s="488" t="str">
        <f>IFERROR(D127/C11,"")</f>
        <v/>
      </c>
      <c r="E126" s="370" t="s">
        <v>107</v>
      </c>
      <c r="F126" s="189"/>
      <c r="G126" s="1508" t="s">
        <v>333</v>
      </c>
      <c r="H126" s="1509"/>
      <c r="I126" s="1509"/>
      <c r="J126" s="1509"/>
      <c r="K126" s="189"/>
      <c r="L126" s="189"/>
      <c r="M126" s="189"/>
      <c r="P126"/>
      <c r="Q126"/>
      <c r="R126"/>
      <c r="S126"/>
      <c r="T126"/>
      <c r="U126"/>
      <c r="V126"/>
      <c r="W126"/>
      <c r="X126"/>
      <c r="Y126"/>
    </row>
    <row r="127" spans="1:25" ht="49.9" customHeight="1" x14ac:dyDescent="0.25">
      <c r="B127" s="320" t="s">
        <v>402</v>
      </c>
      <c r="C127" s="235" t="s">
        <v>136</v>
      </c>
      <c r="D127" s="488">
        <f>IFERROR(SUM(K10:K14),"")</f>
        <v>0</v>
      </c>
      <c r="E127" s="370" t="s">
        <v>107</v>
      </c>
      <c r="G127" s="329" t="s">
        <v>504</v>
      </c>
      <c r="H127" s="326" t="s">
        <v>353</v>
      </c>
      <c r="I127" s="520">
        <f>IFERROR(I128-I129,"")</f>
        <v>0</v>
      </c>
      <c r="J127" s="520">
        <f>IFERROR(J128-J129,"")</f>
        <v>0</v>
      </c>
    </row>
    <row r="128" spans="1:25" ht="49.9" customHeight="1" x14ac:dyDescent="0.25">
      <c r="B128" s="320" t="s">
        <v>356</v>
      </c>
      <c r="C128" s="236" t="s">
        <v>193</v>
      </c>
      <c r="D128" s="325" t="str">
        <f>IFERROR(D123*$Y$9,"")</f>
        <v/>
      </c>
      <c r="E128" s="325" t="str">
        <f>IFERROR(E123*$Y$9,"")</f>
        <v/>
      </c>
      <c r="G128" s="331" t="s">
        <v>334</v>
      </c>
      <c r="H128" s="327" t="s">
        <v>353</v>
      </c>
      <c r="I128" s="449">
        <f>K13</f>
        <v>0</v>
      </c>
      <c r="J128" s="450">
        <f>N13</f>
        <v>0</v>
      </c>
    </row>
    <row r="129" spans="2:10" ht="49.9" customHeight="1" x14ac:dyDescent="0.25">
      <c r="B129" s="87"/>
      <c r="C129" s="88"/>
      <c r="D129" s="244"/>
      <c r="E129" s="88"/>
      <c r="G129" s="333" t="s">
        <v>360</v>
      </c>
      <c r="H129" s="328" t="s">
        <v>353</v>
      </c>
      <c r="I129" s="318">
        <f>IFERROR(G76,"")</f>
        <v>0</v>
      </c>
      <c r="J129" s="319">
        <f>IFERROR(G107+I129,"")</f>
        <v>0</v>
      </c>
    </row>
    <row r="130" spans="2:10" ht="49.9" customHeight="1" x14ac:dyDescent="0.25">
      <c r="B130" s="1517"/>
      <c r="C130" s="1517"/>
      <c r="D130" s="1517"/>
      <c r="E130" s="1517"/>
      <c r="G130" s="1508" t="s">
        <v>332</v>
      </c>
      <c r="H130" s="1509"/>
      <c r="I130" s="1509"/>
      <c r="J130" s="1509"/>
    </row>
    <row r="131" spans="2:10" ht="49.9" customHeight="1" x14ac:dyDescent="0.25">
      <c r="B131" s="223"/>
      <c r="C131" s="211"/>
      <c r="D131" s="211"/>
      <c r="E131" s="211"/>
      <c r="G131" s="329" t="s">
        <v>785</v>
      </c>
      <c r="H131" s="326" t="s">
        <v>353</v>
      </c>
      <c r="I131" s="520" t="str">
        <f>IFERROR(I132-I133,"")</f>
        <v/>
      </c>
      <c r="J131" s="520" t="str">
        <f>IFERROR(J132-J133,"")</f>
        <v/>
      </c>
    </row>
    <row r="132" spans="2:10" ht="49.9" customHeight="1" x14ac:dyDescent="0.25">
      <c r="B132" s="291"/>
      <c r="C132" s="394"/>
      <c r="D132" s="651"/>
      <c r="E132" s="651"/>
      <c r="G132" s="331" t="s">
        <v>334</v>
      </c>
      <c r="H132" s="327" t="s">
        <v>353</v>
      </c>
      <c r="I132" s="315">
        <f>K14</f>
        <v>0</v>
      </c>
      <c r="J132" s="324">
        <f>N14</f>
        <v>0</v>
      </c>
    </row>
    <row r="133" spans="2:10" ht="49.9" customHeight="1" x14ac:dyDescent="0.25">
      <c r="B133" s="291"/>
      <c r="C133" s="394"/>
      <c r="D133" s="651"/>
      <c r="E133" s="602"/>
      <c r="F133" s="680"/>
      <c r="G133" s="333" t="s">
        <v>360</v>
      </c>
      <c r="H133" s="328" t="s">
        <v>353</v>
      </c>
      <c r="I133" s="318" t="str">
        <f>IFERROR(H76,"")</f>
        <v/>
      </c>
      <c r="J133" s="319" t="str">
        <f>IFERROR(H107+I133,"")</f>
        <v/>
      </c>
    </row>
    <row r="134" spans="2:10" ht="49.9" customHeight="1" x14ac:dyDescent="0.25">
      <c r="B134" s="291"/>
      <c r="C134" s="394"/>
      <c r="D134" s="652"/>
      <c r="E134" s="679"/>
      <c r="F134" s="680"/>
      <c r="G134" s="1508" t="s">
        <v>739</v>
      </c>
      <c r="H134" s="1509"/>
      <c r="I134" s="1509"/>
      <c r="J134" s="1509"/>
    </row>
    <row r="135" spans="2:10" ht="49.9" customHeight="1" x14ac:dyDescent="0.25">
      <c r="B135" s="291"/>
      <c r="C135" s="394"/>
      <c r="D135" s="503"/>
      <c r="E135" s="602"/>
      <c r="F135" s="680"/>
      <c r="G135" s="329" t="s">
        <v>785</v>
      </c>
      <c r="H135" s="326" t="s">
        <v>353</v>
      </c>
      <c r="I135" s="520" t="e">
        <f>I136-I137</f>
        <v>#VALUE!</v>
      </c>
      <c r="J135" s="520" t="e">
        <f>J136-J137</f>
        <v>#VALUE!</v>
      </c>
    </row>
    <row r="136" spans="2:10" ht="49.9" customHeight="1" x14ac:dyDescent="0.25">
      <c r="B136" s="291"/>
      <c r="C136" s="394"/>
      <c r="D136" s="503"/>
      <c r="E136" s="602"/>
      <c r="F136" s="680"/>
      <c r="G136" s="331" t="s">
        <v>334</v>
      </c>
      <c r="H136" s="327" t="s">
        <v>353</v>
      </c>
      <c r="I136" s="315">
        <f>K15</f>
        <v>0</v>
      </c>
      <c r="J136" s="324">
        <f>N15</f>
        <v>0</v>
      </c>
    </row>
    <row r="137" spans="2:10" ht="49.9" customHeight="1" x14ac:dyDescent="0.25">
      <c r="B137" s="291"/>
      <c r="C137" s="307"/>
      <c r="D137" s="653"/>
      <c r="E137" s="602"/>
      <c r="F137" s="680"/>
      <c r="G137" s="333" t="s">
        <v>360</v>
      </c>
      <c r="H137" s="328" t="s">
        <v>353</v>
      </c>
      <c r="I137" s="318" t="str">
        <f>IFERROR(I76,"")</f>
        <v/>
      </c>
      <c r="J137" s="319" t="str">
        <f>IFERROR(I107+I137,"")</f>
        <v/>
      </c>
    </row>
    <row r="138" spans="2:10" ht="49.9" customHeight="1" x14ac:dyDescent="0.25">
      <c r="B138" s="87"/>
      <c r="C138" s="88"/>
      <c r="D138" s="88"/>
      <c r="E138" s="681"/>
      <c r="F138" s="680"/>
    </row>
    <row r="139" spans="2:10" ht="30" customHeight="1" x14ac:dyDescent="0.25">
      <c r="E139" s="680"/>
      <c r="F139" s="680"/>
    </row>
  </sheetData>
  <mergeCells count="10">
    <mergeCell ref="G134:J134"/>
    <mergeCell ref="G130:J130"/>
    <mergeCell ref="B112:E112"/>
    <mergeCell ref="B121:E121"/>
    <mergeCell ref="B130:E130"/>
    <mergeCell ref="K77:L77"/>
    <mergeCell ref="G80:H80"/>
    <mergeCell ref="G112:J112"/>
    <mergeCell ref="G118:I118"/>
    <mergeCell ref="G126:J126"/>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857" id="{58C86BBF-F6F6-4C72-B1E9-E1A464324F29}">
            <xm:f>$F$55=FAListas!#REF!</xm:f>
            <x14:dxf>
              <fill>
                <patternFill>
                  <bgColor theme="1"/>
                </patternFill>
              </fill>
            </x14:dxf>
          </x14:cfRule>
          <xm:sqref>D126:D128 E128 D135:D137 E137</xm:sqref>
        </x14:conditionalFormatting>
        <x14:conditionalFormatting xmlns:xm="http://schemas.microsoft.com/office/excel/2006/main">
          <x14:cfRule type="expression" priority="859" id="{E47FE7A1-CA9B-4DE8-8D72-47E7CA5EA51E}">
            <xm:f>IF($E$41=FAListas!$C$6,TRUE, IF($E$41=FAListas!#REF!, TRUE,""))</xm:f>
            <x14:dxf>
              <fill>
                <patternFill>
                  <bgColor theme="1"/>
                </patternFill>
              </fill>
            </x14:dxf>
          </x14:cfRule>
          <xm:sqref>D114:E114</xm:sqref>
        </x14:conditionalFormatting>
        <x14:conditionalFormatting xmlns:xm="http://schemas.microsoft.com/office/excel/2006/main">
          <x14:cfRule type="expression" priority="860" id="{9DC9E777-5075-4210-8B0A-9106F576D3E4}">
            <xm:f>IF($F$55=FAListas!$C$6,TRUE, IF($F$55=FAListas!#REF!, TRUE,""))</xm:f>
            <x14:dxf>
              <fill>
                <patternFill>
                  <bgColor theme="1"/>
                </patternFill>
              </fill>
            </x14:dxf>
          </x14:cfRule>
          <xm:sqref>D115:E119</xm:sqref>
        </x14:conditionalFormatting>
        <x14:conditionalFormatting xmlns:xm="http://schemas.microsoft.com/office/excel/2006/main">
          <x14:cfRule type="expression" priority="861" id="{96C32A74-847B-4D8F-97AE-CBA4C43387A5}">
            <xm:f>#REF!=FAListas!#REF!</xm:f>
            <x14:dxf>
              <fill>
                <patternFill>
                  <bgColor theme="1"/>
                </patternFill>
              </fill>
            </x14:dxf>
          </x14:cfRule>
          <xm:sqref>D124:E125 E126:E127 D133:E134</xm:sqref>
        </x14:conditionalFormatting>
        <x14:conditionalFormatting xmlns:xm="http://schemas.microsoft.com/office/excel/2006/main">
          <x14:cfRule type="expression" priority="15" id="{A371CFFD-8782-43B1-B90C-B73EB4955062}">
            <xm:f>#REF!=FAListas!$C$6</xm:f>
            <x14:dxf>
              <fill>
                <patternFill>
                  <bgColor theme="1"/>
                </patternFill>
              </fill>
            </x14:dxf>
          </x14:cfRule>
          <xm:sqref>E135:E136</xm:sqref>
        </x14:conditionalFormatting>
        <x14:conditionalFormatting xmlns:xm="http://schemas.microsoft.com/office/excel/2006/main">
          <x14:cfRule type="expression" priority="866" id="{D3BCDF41-1166-4C25-A6AF-016FD18AA302}">
            <xm:f>IF(#REF!=FAListas!$C$6,TRUE, IF(#REF!=FAListas!#REF!, TRUE,""))</xm:f>
            <x14:dxf>
              <fill>
                <patternFill>
                  <bgColor theme="1"/>
                </patternFill>
              </fill>
            </x14:dxf>
          </x14:cfRule>
          <xm:sqref>I115:J115 I119:J119 D123:E123 I123:J123 I127:J127 I131:J131 D132:E132</xm:sqref>
        </x14:conditionalFormatting>
        <x14:conditionalFormatting xmlns:xm="http://schemas.microsoft.com/office/excel/2006/main">
          <x14:cfRule type="expression" priority="1" id="{01B88F8D-29FF-4617-A635-FC8212786B4A}">
            <xm:f>IF(#REF!=FAListas!$C$6,TRUE, IF(#REF!=FAListas!#REF!, TRUE,""))</xm:f>
            <x14:dxf>
              <fill>
                <patternFill>
                  <bgColor theme="1"/>
                </patternFill>
              </fill>
            </x14:dxf>
          </x14:cfRule>
          <xm:sqref>I135:J135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ADF40-B152-4DE8-AF56-5A4B2CC8EBE1}">
  <sheetPr codeName="Sheet15">
    <tabColor rgb="FF02A39C"/>
  </sheetPr>
  <dimension ref="A2:Y101"/>
  <sheetViews>
    <sheetView showGridLines="0" zoomScale="65" zoomScaleNormal="65" workbookViewId="0">
      <pane ySplit="2" topLeftCell="A3" activePane="bottomLeft" state="frozen"/>
      <selection activeCell="D13" sqref="D13"/>
      <selection pane="bottomLeft" activeCell="K4" sqref="K4:L4"/>
    </sheetView>
  </sheetViews>
  <sheetFormatPr defaultRowHeight="24" customHeight="1" x14ac:dyDescent="0.25"/>
  <cols>
    <col min="1" max="1" width="3.7109375" customWidth="1"/>
    <col min="2" max="2" width="2.7109375" customWidth="1"/>
    <col min="3" max="3" width="47.7109375" customWidth="1"/>
    <col min="4" max="4" width="26.28515625" customWidth="1"/>
    <col min="5" max="5" width="37.85546875" customWidth="1"/>
    <col min="6" max="6" width="36.7109375" customWidth="1"/>
    <col min="7" max="7" width="37.7109375" customWidth="1"/>
    <col min="8" max="8" width="2.7109375" customWidth="1"/>
    <col min="9" max="9" width="9" customWidth="1"/>
    <col min="10" max="13" width="35.7109375" customWidth="1"/>
    <col min="20" max="21" width="40.7109375" hidden="1" customWidth="1"/>
  </cols>
  <sheetData>
    <row r="2" spans="1:22" s="4" customFormat="1" ht="70.150000000000006" customHeight="1" x14ac:dyDescent="0.25">
      <c r="A2" s="297"/>
      <c r="C2" s="373" t="s">
        <v>940</v>
      </c>
      <c r="D2" s="52"/>
      <c r="E2" s="52"/>
      <c r="F2" s="52"/>
      <c r="G2" s="52"/>
      <c r="H2" s="52"/>
      <c r="I2" s="52"/>
      <c r="J2" s="52"/>
      <c r="K2" s="52"/>
      <c r="L2" s="52"/>
      <c r="M2" s="52"/>
      <c r="N2" s="52"/>
      <c r="O2" s="52"/>
      <c r="P2" s="52"/>
      <c r="Q2" s="52"/>
      <c r="R2" s="52"/>
      <c r="S2" s="52"/>
      <c r="T2" s="52"/>
      <c r="U2" s="52"/>
      <c r="V2" s="52"/>
    </row>
    <row r="3" spans="1:22" ht="24" customHeight="1" thickBot="1" x14ac:dyDescent="0.3"/>
    <row r="4" spans="1:22" ht="40.15" customHeight="1" thickBot="1" x14ac:dyDescent="0.3">
      <c r="B4" s="66"/>
      <c r="C4" s="66" t="s">
        <v>496</v>
      </c>
      <c r="D4" s="57"/>
      <c r="E4" s="57"/>
      <c r="F4" s="57"/>
      <c r="G4" s="57"/>
      <c r="H4" s="58"/>
      <c r="I4" s="56"/>
      <c r="J4" s="562" t="s">
        <v>608</v>
      </c>
      <c r="K4" s="1412" t="s">
        <v>603</v>
      </c>
      <c r="L4" s="1413"/>
      <c r="T4" s="560" t="s">
        <v>603</v>
      </c>
      <c r="U4" s="554" t="s">
        <v>974</v>
      </c>
    </row>
    <row r="5" spans="1:22" ht="15" customHeight="1" x14ac:dyDescent="0.25">
      <c r="B5" s="512"/>
      <c r="C5" s="56"/>
      <c r="D5" s="56"/>
      <c r="E5" s="56"/>
      <c r="F5" s="56"/>
      <c r="G5" s="56"/>
      <c r="H5" s="511"/>
      <c r="I5" s="56"/>
      <c r="J5" s="1414" t="str">
        <f>IF(K4="","",VLOOKUP(K4,T4:U6,2,FALSE))</f>
        <v>Cálculo das emissões absolutas (Ab), das emissões emissões de referência (Be) e das emissões relativas (Re= Ab - Be)  de projetos de transporte de passageiros em vias navegáveis interiores que impliquem transferência modal.</v>
      </c>
      <c r="K5" s="1415"/>
      <c r="L5" s="1416"/>
      <c r="T5" s="560" t="s">
        <v>606</v>
      </c>
      <c r="U5" s="553" t="s">
        <v>975</v>
      </c>
    </row>
    <row r="6" spans="1:22" ht="24" customHeight="1" x14ac:dyDescent="0.25">
      <c r="B6" s="512"/>
      <c r="C6" s="1498" t="s">
        <v>634</v>
      </c>
      <c r="D6" s="1499"/>
      <c r="E6" s="1499"/>
      <c r="F6" s="1499"/>
      <c r="G6" s="1499"/>
      <c r="H6" s="511"/>
      <c r="I6" s="56"/>
      <c r="J6" s="1417"/>
      <c r="K6" s="1418"/>
      <c r="L6" s="1419"/>
      <c r="T6" s="560" t="s">
        <v>713</v>
      </c>
      <c r="U6" s="561" t="s">
        <v>976</v>
      </c>
    </row>
    <row r="7" spans="1:22" ht="40.15" customHeight="1" x14ac:dyDescent="0.25">
      <c r="B7" s="512"/>
      <c r="C7" s="1450" t="s">
        <v>611</v>
      </c>
      <c r="D7" s="1460" t="s">
        <v>913</v>
      </c>
      <c r="E7" s="1461"/>
      <c r="F7" s="1461"/>
      <c r="G7" s="1462"/>
      <c r="H7" s="511"/>
      <c r="I7" s="56"/>
      <c r="J7" s="1417"/>
      <c r="K7" s="1418"/>
      <c r="L7" s="1419"/>
    </row>
    <row r="8" spans="1:22" ht="24" customHeight="1" x14ac:dyDescent="0.25">
      <c r="B8" s="512"/>
      <c r="C8" s="1469"/>
      <c r="D8" s="1463" t="s">
        <v>635</v>
      </c>
      <c r="E8" s="1464"/>
      <c r="F8" s="1464"/>
      <c r="G8" s="1465"/>
      <c r="H8" s="511"/>
      <c r="I8" s="56"/>
      <c r="J8" s="1417"/>
      <c r="K8" s="1418"/>
      <c r="L8" s="1419"/>
    </row>
    <row r="9" spans="1:22" ht="24" customHeight="1" thickBot="1" x14ac:dyDescent="0.3">
      <c r="B9" s="512"/>
      <c r="C9" s="1469"/>
      <c r="D9" s="1466" t="s">
        <v>636</v>
      </c>
      <c r="E9" s="1467"/>
      <c r="F9" s="1467"/>
      <c r="G9" s="1468"/>
      <c r="H9" s="511"/>
      <c r="I9" s="56"/>
      <c r="J9" s="1420"/>
      <c r="K9" s="1421"/>
      <c r="L9" s="1422"/>
    </row>
    <row r="10" spans="1:22" ht="61.15" customHeight="1" x14ac:dyDescent="0.25">
      <c r="B10" s="512"/>
      <c r="C10" s="1451"/>
      <c r="D10" s="1460" t="s">
        <v>1348</v>
      </c>
      <c r="E10" s="1461"/>
      <c r="F10" s="1461"/>
      <c r="G10" s="1462"/>
      <c r="H10" s="511"/>
      <c r="I10" s="56"/>
      <c r="J10" s="56"/>
    </row>
    <row r="11" spans="1:22" ht="34.9" customHeight="1" x14ac:dyDescent="0.25">
      <c r="B11" s="512"/>
      <c r="C11" s="1450" t="s">
        <v>609</v>
      </c>
      <c r="D11" s="1463" t="s">
        <v>973</v>
      </c>
      <c r="E11" s="1464"/>
      <c r="F11" s="1464"/>
      <c r="G11" s="1465"/>
      <c r="H11" s="511"/>
      <c r="I11" s="56"/>
      <c r="J11" s="56"/>
    </row>
    <row r="12" spans="1:22" ht="30" customHeight="1" x14ac:dyDescent="0.25">
      <c r="B12" s="512"/>
      <c r="C12" s="1469"/>
      <c r="D12" s="1431" t="s">
        <v>610</v>
      </c>
      <c r="E12" s="1432"/>
      <c r="F12" s="1432"/>
      <c r="G12" s="1470"/>
      <c r="H12" s="511"/>
      <c r="I12" s="56"/>
      <c r="J12" s="56"/>
    </row>
    <row r="13" spans="1:22" ht="30" customHeight="1" x14ac:dyDescent="0.25">
      <c r="B13" s="512"/>
      <c r="C13" s="1469"/>
      <c r="D13" s="1519" t="s">
        <v>837</v>
      </c>
      <c r="E13" s="1520"/>
      <c r="F13" s="1520"/>
      <c r="G13" s="1521"/>
      <c r="H13" s="511"/>
      <c r="I13" s="56"/>
      <c r="J13" s="56"/>
    </row>
    <row r="14" spans="1:22" ht="40.15" customHeight="1" x14ac:dyDescent="0.25">
      <c r="B14" s="512"/>
      <c r="C14" s="1469"/>
      <c r="D14" s="1460" t="s">
        <v>1155</v>
      </c>
      <c r="E14" s="1461"/>
      <c r="F14" s="1461"/>
      <c r="G14" s="1462"/>
      <c r="H14" s="511"/>
      <c r="I14" s="56"/>
      <c r="J14" s="56"/>
    </row>
    <row r="15" spans="1:22" ht="40.15" customHeight="1" x14ac:dyDescent="0.25">
      <c r="B15" s="512"/>
      <c r="C15" s="1469"/>
      <c r="D15" s="1460" t="s">
        <v>726</v>
      </c>
      <c r="E15" s="1461"/>
      <c r="F15" s="1461"/>
      <c r="G15" s="1462"/>
      <c r="H15" s="511"/>
      <c r="I15" s="56"/>
      <c r="J15" s="56"/>
    </row>
    <row r="16" spans="1:22" ht="78" customHeight="1" x14ac:dyDescent="0.25">
      <c r="B16" s="512"/>
      <c r="C16" s="1451"/>
      <c r="D16" s="1460" t="s">
        <v>1345</v>
      </c>
      <c r="E16" s="1461"/>
      <c r="F16" s="1462"/>
      <c r="G16" s="1109" t="s">
        <v>81</v>
      </c>
      <c r="H16" s="511"/>
      <c r="I16" s="56"/>
      <c r="J16" s="56"/>
    </row>
    <row r="17" spans="2:25" ht="40.15" customHeight="1" x14ac:dyDescent="0.25">
      <c r="B17" s="512"/>
      <c r="C17" s="56"/>
      <c r="D17" s="56"/>
      <c r="E17" s="56"/>
      <c r="F17" s="56"/>
      <c r="G17" s="56"/>
      <c r="H17" s="511"/>
      <c r="I17" s="56"/>
      <c r="J17" s="56"/>
    </row>
    <row r="18" spans="2:25" ht="24" customHeight="1" x14ac:dyDescent="0.25">
      <c r="B18" s="59"/>
      <c r="C18" s="116" t="s">
        <v>489</v>
      </c>
      <c r="D18" s="115"/>
      <c r="E18" s="115"/>
      <c r="F18" s="115"/>
      <c r="G18" s="115"/>
      <c r="H18" s="69"/>
      <c r="I18" s="54"/>
      <c r="J18" s="55"/>
      <c r="K18" s="48"/>
      <c r="U18" s="1529"/>
      <c r="V18" s="1289"/>
      <c r="W18" s="1289"/>
      <c r="X18" s="1289"/>
      <c r="Y18" s="1289"/>
    </row>
    <row r="19" spans="2:25" ht="24" customHeight="1" x14ac:dyDescent="0.25">
      <c r="B19" s="59"/>
      <c r="C19" s="92"/>
      <c r="D19" s="92"/>
      <c r="E19" s="92"/>
      <c r="F19" s="92"/>
      <c r="G19" s="92"/>
      <c r="H19" s="69"/>
      <c r="I19" s="54"/>
      <c r="J19" s="55"/>
      <c r="K19" s="48"/>
      <c r="U19" s="1529"/>
      <c r="V19" s="1289"/>
      <c r="W19" s="1289"/>
      <c r="X19" s="1289"/>
      <c r="Y19" s="1289"/>
    </row>
    <row r="20" spans="2:25" ht="30" customHeight="1" x14ac:dyDescent="0.25">
      <c r="B20" s="59"/>
      <c r="C20" s="298" t="s">
        <v>483</v>
      </c>
      <c r="D20" s="218"/>
      <c r="E20" s="219" t="s">
        <v>195</v>
      </c>
      <c r="F20" s="219" t="s">
        <v>157</v>
      </c>
      <c r="G20" s="220" t="s">
        <v>623</v>
      </c>
      <c r="H20" s="69"/>
      <c r="I20" s="54"/>
      <c r="J20" s="55"/>
      <c r="K20" s="48"/>
      <c r="U20" s="1529"/>
      <c r="V20" s="1530"/>
      <c r="W20" s="1530"/>
      <c r="X20" s="1530"/>
      <c r="Y20" s="1530"/>
    </row>
    <row r="21" spans="2:25" ht="70.150000000000006" customHeight="1" x14ac:dyDescent="0.25">
      <c r="B21" s="59"/>
      <c r="C21" s="291" t="s">
        <v>319</v>
      </c>
      <c r="D21" s="292" t="s">
        <v>617</v>
      </c>
      <c r="E21" s="339" t="s">
        <v>376</v>
      </c>
      <c r="F21" s="1104"/>
      <c r="G21" s="1253" t="s">
        <v>482</v>
      </c>
      <c r="H21" s="69"/>
      <c r="I21" s="54"/>
      <c r="J21" s="88"/>
      <c r="K21" s="88"/>
      <c r="U21" s="1529"/>
      <c r="V21" s="1289"/>
      <c r="W21" s="1289"/>
      <c r="X21" s="1289"/>
      <c r="Y21" s="1289"/>
    </row>
    <row r="22" spans="2:25" ht="30" customHeight="1" x14ac:dyDescent="0.25">
      <c r="B22" s="59"/>
      <c r="C22" s="1509" t="s">
        <v>944</v>
      </c>
      <c r="D22" s="1481"/>
      <c r="E22" s="219" t="s">
        <v>195</v>
      </c>
      <c r="F22" s="230" t="s">
        <v>157</v>
      </c>
      <c r="G22" s="220" t="s">
        <v>623</v>
      </c>
      <c r="H22" s="69"/>
      <c r="I22" s="54"/>
      <c r="J22" s="254"/>
      <c r="K22" s="100"/>
      <c r="Q22" s="100"/>
      <c r="R22" s="100"/>
      <c r="U22" s="1529"/>
      <c r="V22" s="603"/>
      <c r="W22" s="603"/>
      <c r="X22" s="603"/>
      <c r="Y22" s="603"/>
    </row>
    <row r="23" spans="2:25" ht="70.150000000000006" customHeight="1" x14ac:dyDescent="0.25">
      <c r="B23" s="59"/>
      <c r="C23" s="293" t="s">
        <v>951</v>
      </c>
      <c r="D23" s="292" t="s">
        <v>616</v>
      </c>
      <c r="E23" s="286" t="s">
        <v>146</v>
      </c>
      <c r="F23" s="1105"/>
      <c r="G23" s="1239" t="s">
        <v>482</v>
      </c>
      <c r="H23" s="69"/>
      <c r="I23" s="54"/>
      <c r="J23" s="138"/>
      <c r="K23" s="88"/>
      <c r="L23" s="88"/>
      <c r="M23" s="88"/>
      <c r="O23" s="88"/>
      <c r="P23" s="1449"/>
      <c r="Q23" s="1449"/>
      <c r="R23" s="1449"/>
      <c r="U23" s="1529"/>
      <c r="V23" s="1289"/>
      <c r="W23" s="1289"/>
      <c r="X23" s="1289"/>
      <c r="Y23" s="765"/>
    </row>
    <row r="24" spans="2:25" ht="30" customHeight="1" x14ac:dyDescent="0.25">
      <c r="B24" s="59"/>
      <c r="C24" s="1509" t="s">
        <v>952</v>
      </c>
      <c r="D24" s="1481"/>
      <c r="E24" s="219" t="s">
        <v>195</v>
      </c>
      <c r="F24" s="230" t="s">
        <v>157</v>
      </c>
      <c r="G24" s="220" t="s">
        <v>623</v>
      </c>
      <c r="H24" s="69"/>
      <c r="I24" s="54"/>
      <c r="J24" s="138"/>
      <c r="K24" s="88"/>
      <c r="L24" s="88"/>
      <c r="M24" s="88"/>
      <c r="O24" s="88"/>
      <c r="P24" s="1449"/>
      <c r="Q24" s="1449"/>
      <c r="R24" s="1449"/>
      <c r="U24" s="658"/>
      <c r="V24" s="603"/>
      <c r="W24" s="603"/>
      <c r="X24" s="603"/>
      <c r="Y24" s="765"/>
    </row>
    <row r="25" spans="2:25" ht="70.150000000000006" customHeight="1" x14ac:dyDescent="0.25">
      <c r="B25" s="59"/>
      <c r="C25" s="293" t="s">
        <v>956</v>
      </c>
      <c r="D25" s="292" t="s">
        <v>616</v>
      </c>
      <c r="E25" s="339" t="s">
        <v>942</v>
      </c>
      <c r="F25" s="1113"/>
      <c r="G25" s="1239" t="s">
        <v>482</v>
      </c>
      <c r="H25" s="69"/>
      <c r="I25" s="54"/>
      <c r="J25" s="138"/>
      <c r="K25" s="88"/>
      <c r="L25" s="88"/>
      <c r="M25" s="88"/>
      <c r="O25" s="88"/>
      <c r="P25" s="1449"/>
      <c r="Q25" s="1449"/>
      <c r="R25" s="1449"/>
      <c r="U25" s="658"/>
      <c r="V25" s="603"/>
      <c r="W25" s="603"/>
      <c r="X25" s="603"/>
      <c r="Y25" s="765"/>
    </row>
    <row r="26" spans="2:25" ht="70.150000000000006" customHeight="1" x14ac:dyDescent="0.25">
      <c r="B26" s="59"/>
      <c r="C26" s="293" t="s">
        <v>953</v>
      </c>
      <c r="D26" s="292" t="s">
        <v>616</v>
      </c>
      <c r="E26" s="339" t="s">
        <v>942</v>
      </c>
      <c r="F26" s="1113"/>
      <c r="G26" s="1239" t="s">
        <v>482</v>
      </c>
      <c r="H26" s="69"/>
      <c r="I26" s="54"/>
      <c r="J26" s="138"/>
      <c r="K26" s="88"/>
      <c r="L26" s="88"/>
      <c r="M26" s="88"/>
      <c r="O26" s="88"/>
      <c r="P26" s="1449"/>
      <c r="Q26" s="1449"/>
      <c r="R26" s="1449"/>
    </row>
    <row r="27" spans="2:25" ht="30" customHeight="1" x14ac:dyDescent="0.25">
      <c r="B27" s="59"/>
      <c r="C27" s="1532"/>
      <c r="D27" s="1532"/>
      <c r="E27" s="1532"/>
      <c r="F27" s="279"/>
      <c r="G27" s="279"/>
      <c r="H27" s="69"/>
      <c r="I27" s="54"/>
      <c r="N27" s="138"/>
      <c r="O27" s="138"/>
      <c r="P27" s="1449"/>
      <c r="Q27" s="1449"/>
      <c r="R27" s="1449"/>
    </row>
    <row r="28" spans="2:25" ht="30" customHeight="1" x14ac:dyDescent="0.25">
      <c r="B28" s="59"/>
      <c r="C28" s="116" t="s">
        <v>490</v>
      </c>
      <c r="D28" s="115"/>
      <c r="E28" s="115"/>
      <c r="F28" s="115"/>
      <c r="G28" s="115"/>
      <c r="H28" s="69"/>
      <c r="I28" s="54"/>
      <c r="J28" s="278"/>
      <c r="K28" s="278"/>
      <c r="L28" s="278"/>
      <c r="N28" s="138"/>
      <c r="O28" s="138"/>
      <c r="P28" s="256"/>
      <c r="Q28" s="256"/>
      <c r="R28" s="256"/>
    </row>
    <row r="29" spans="2:25" ht="15" customHeight="1" x14ac:dyDescent="0.25">
      <c r="B29" s="59"/>
      <c r="C29" s="92"/>
      <c r="D29" s="92"/>
      <c r="E29" s="92"/>
      <c r="F29" s="92"/>
      <c r="G29" s="92"/>
      <c r="H29" s="69"/>
      <c r="I29" s="54"/>
      <c r="J29" s="278"/>
      <c r="K29" s="278"/>
      <c r="L29" s="278"/>
      <c r="N29" s="138"/>
      <c r="O29" s="138"/>
      <c r="P29" s="256"/>
      <c r="Q29" s="256"/>
      <c r="R29" s="256"/>
    </row>
    <row r="30" spans="2:25" ht="24" customHeight="1" x14ac:dyDescent="0.25">
      <c r="B30" s="59"/>
      <c r="C30" s="1510" t="s">
        <v>634</v>
      </c>
      <c r="D30" s="1511"/>
      <c r="E30" s="1511"/>
      <c r="F30" s="1511"/>
      <c r="G30" s="1512"/>
      <c r="H30" s="69"/>
      <c r="I30" s="54"/>
      <c r="J30" s="278"/>
      <c r="K30" s="278"/>
      <c r="L30" s="278"/>
      <c r="N30" s="138"/>
      <c r="O30" s="138"/>
      <c r="P30" s="256"/>
      <c r="Q30" s="256"/>
      <c r="R30" s="256"/>
    </row>
    <row r="31" spans="2:25" ht="34.9" customHeight="1" x14ac:dyDescent="0.25">
      <c r="B31" s="59"/>
      <c r="C31" s="1522" t="s">
        <v>621</v>
      </c>
      <c r="D31" s="1410" t="s">
        <v>900</v>
      </c>
      <c r="E31" s="1410"/>
      <c r="F31" s="1410"/>
      <c r="G31" s="1525"/>
      <c r="H31" s="69"/>
      <c r="I31" s="54"/>
      <c r="J31" s="278"/>
      <c r="K31" s="278"/>
      <c r="L31" s="278"/>
      <c r="N31" s="138"/>
      <c r="O31" s="138"/>
      <c r="P31" s="256"/>
      <c r="Q31" s="256"/>
      <c r="R31" s="256"/>
    </row>
    <row r="32" spans="2:25" ht="40.15" customHeight="1" x14ac:dyDescent="0.25">
      <c r="B32" s="59"/>
      <c r="C32" s="1523"/>
      <c r="D32" s="1437" t="s">
        <v>955</v>
      </c>
      <c r="E32" s="1438"/>
      <c r="F32" s="1438"/>
      <c r="G32" s="1440"/>
      <c r="H32" s="69"/>
      <c r="I32" s="54"/>
      <c r="J32" s="278"/>
      <c r="K32" s="278"/>
      <c r="L32" s="278"/>
      <c r="N32" s="138"/>
      <c r="O32" s="138"/>
      <c r="P32" s="256"/>
      <c r="Q32" s="256"/>
      <c r="R32" s="256"/>
    </row>
    <row r="33" spans="2:18" ht="40.15" customHeight="1" x14ac:dyDescent="0.25">
      <c r="B33" s="59"/>
      <c r="C33" s="1523"/>
      <c r="D33" s="1437" t="s">
        <v>899</v>
      </c>
      <c r="E33" s="1438"/>
      <c r="F33" s="1438"/>
      <c r="G33" s="1440"/>
      <c r="H33" s="69"/>
      <c r="I33" s="54"/>
      <c r="J33" s="278"/>
      <c r="K33" s="278"/>
      <c r="L33" s="278"/>
      <c r="N33" s="138"/>
      <c r="O33" s="138"/>
      <c r="P33" s="256"/>
      <c r="Q33" s="256"/>
      <c r="R33" s="256"/>
    </row>
    <row r="34" spans="2:18" ht="116.45" customHeight="1" x14ac:dyDescent="0.25">
      <c r="B34" s="59"/>
      <c r="C34" s="1524"/>
      <c r="D34" s="1526" t="s">
        <v>947</v>
      </c>
      <c r="E34" s="1527"/>
      <c r="F34" s="1527"/>
      <c r="G34" s="1528"/>
      <c r="H34" s="69"/>
      <c r="I34" s="54"/>
      <c r="J34" s="278"/>
      <c r="K34" s="278"/>
      <c r="L34" s="278"/>
      <c r="N34" s="138"/>
      <c r="O34" s="138"/>
      <c r="P34" s="256"/>
      <c r="Q34" s="256"/>
      <c r="R34" s="256"/>
    </row>
    <row r="35" spans="2:18" ht="15" customHeight="1" x14ac:dyDescent="0.25">
      <c r="B35" s="59"/>
      <c r="C35" s="92"/>
      <c r="D35" s="92"/>
      <c r="E35" s="92"/>
      <c r="F35" s="92"/>
      <c r="G35" s="92"/>
      <c r="H35" s="69"/>
      <c r="I35" s="54"/>
      <c r="J35" s="565"/>
      <c r="K35" s="565"/>
      <c r="L35" s="445"/>
      <c r="N35" s="138"/>
      <c r="O35" s="138"/>
      <c r="P35" s="256"/>
      <c r="Q35" s="256"/>
      <c r="R35" s="256"/>
    </row>
    <row r="36" spans="2:18" ht="15" customHeight="1" x14ac:dyDescent="0.25">
      <c r="B36" s="59"/>
      <c r="C36" s="92"/>
      <c r="D36" s="92"/>
      <c r="E36" s="92"/>
      <c r="F36" s="92"/>
      <c r="G36" s="92"/>
      <c r="H36" s="69"/>
      <c r="I36" s="54"/>
      <c r="J36" s="565"/>
      <c r="K36" s="565"/>
      <c r="L36" s="445"/>
      <c r="N36" s="138"/>
      <c r="O36" s="138"/>
      <c r="P36" s="256"/>
      <c r="Q36" s="256"/>
      <c r="R36" s="256"/>
    </row>
    <row r="37" spans="2:18" ht="15" customHeight="1" x14ac:dyDescent="0.25">
      <c r="B37" s="59"/>
      <c r="C37" s="92"/>
      <c r="D37" s="92"/>
      <c r="E37" s="92"/>
      <c r="F37" s="92"/>
      <c r="G37" s="92"/>
      <c r="H37" s="69"/>
      <c r="I37" s="54"/>
      <c r="J37" s="565"/>
      <c r="K37" s="565"/>
      <c r="L37" s="445"/>
      <c r="N37" s="138"/>
      <c r="O37" s="138"/>
      <c r="P37" s="256"/>
      <c r="Q37" s="256"/>
      <c r="R37" s="256"/>
    </row>
    <row r="38" spans="2:18" ht="30" customHeight="1" x14ac:dyDescent="0.25">
      <c r="B38" s="59"/>
      <c r="C38" s="571" t="s">
        <v>612</v>
      </c>
      <c r="D38" s="573" t="s">
        <v>3</v>
      </c>
      <c r="E38" s="572" t="s">
        <v>86</v>
      </c>
      <c r="F38" s="1444" t="s">
        <v>126</v>
      </c>
      <c r="G38" s="1445"/>
      <c r="H38" s="69"/>
      <c r="I38" s="54"/>
      <c r="J38" s="565"/>
      <c r="K38" s="565"/>
      <c r="L38" s="445"/>
      <c r="N38" s="138"/>
      <c r="O38" s="138"/>
      <c r="P38" s="256"/>
      <c r="Q38" s="256"/>
      <c r="R38" s="256"/>
    </row>
    <row r="39" spans="2:18" ht="49.9" customHeight="1" x14ac:dyDescent="0.25">
      <c r="B39" s="59"/>
      <c r="C39" s="294" t="s">
        <v>716</v>
      </c>
      <c r="D39" s="309" t="s">
        <v>119</v>
      </c>
      <c r="E39" s="1105"/>
      <c r="F39" s="1533" t="s">
        <v>160</v>
      </c>
      <c r="G39" s="1507"/>
      <c r="H39" s="69"/>
      <c r="I39" s="54"/>
      <c r="J39" s="565"/>
      <c r="K39" s="565"/>
      <c r="L39" s="445"/>
      <c r="N39" s="138"/>
      <c r="O39" s="138"/>
      <c r="P39" s="256"/>
      <c r="Q39" s="256"/>
      <c r="R39" s="256"/>
    </row>
    <row r="40" spans="2:18" ht="30" customHeight="1" x14ac:dyDescent="0.25">
      <c r="B40" s="59"/>
      <c r="C40" s="575" t="s">
        <v>944</v>
      </c>
      <c r="D40" s="573" t="s">
        <v>3</v>
      </c>
      <c r="E40" s="572" t="s">
        <v>86</v>
      </c>
      <c r="F40" s="1534" t="s">
        <v>126</v>
      </c>
      <c r="G40" s="1423"/>
      <c r="H40" s="760"/>
      <c r="I40" s="54"/>
      <c r="M40" s="88"/>
    </row>
    <row r="41" spans="2:18" ht="70.150000000000006" customHeight="1" x14ac:dyDescent="0.25">
      <c r="B41" s="59"/>
      <c r="C41" s="293" t="s">
        <v>898</v>
      </c>
      <c r="D41" s="292" t="s">
        <v>487</v>
      </c>
      <c r="E41" s="1105"/>
      <c r="F41" s="1408" t="s">
        <v>160</v>
      </c>
      <c r="G41" s="1409"/>
      <c r="H41" s="69"/>
      <c r="I41" s="54"/>
      <c r="J41" s="1504"/>
      <c r="K41" s="1504"/>
      <c r="L41" s="1505"/>
      <c r="M41" s="1505"/>
    </row>
    <row r="42" spans="2:18" ht="70.150000000000006" customHeight="1" x14ac:dyDescent="0.25">
      <c r="B42" s="59"/>
      <c r="C42" s="293" t="s">
        <v>945</v>
      </c>
      <c r="D42" s="292" t="s">
        <v>943</v>
      </c>
      <c r="E42" s="1105"/>
      <c r="F42" s="1531" t="s">
        <v>160</v>
      </c>
      <c r="G42" s="1408"/>
      <c r="H42" s="69"/>
      <c r="I42" s="54"/>
      <c r="J42" s="1504"/>
      <c r="K42" s="1504"/>
      <c r="L42" s="1505"/>
      <c r="M42" s="1505"/>
    </row>
    <row r="43" spans="2:18" ht="30" customHeight="1" x14ac:dyDescent="0.25">
      <c r="B43" s="59"/>
      <c r="C43" s="575" t="s">
        <v>946</v>
      </c>
      <c r="D43" s="573" t="s">
        <v>3</v>
      </c>
      <c r="E43" s="572" t="s">
        <v>86</v>
      </c>
      <c r="F43" s="1535" t="s">
        <v>126</v>
      </c>
      <c r="G43" s="1444"/>
      <c r="H43" s="1536"/>
      <c r="I43" s="54"/>
      <c r="J43" s="1504"/>
      <c r="K43" s="1504"/>
      <c r="L43" s="1505"/>
      <c r="M43" s="1505"/>
    </row>
    <row r="44" spans="2:18" ht="70.150000000000006" customHeight="1" x14ac:dyDescent="0.25">
      <c r="B44" s="59"/>
      <c r="C44" s="293" t="s">
        <v>898</v>
      </c>
      <c r="D44" s="292" t="s">
        <v>487</v>
      </c>
      <c r="E44" s="1105"/>
      <c r="F44" s="1408" t="s">
        <v>160</v>
      </c>
      <c r="G44" s="1409"/>
      <c r="H44" s="69"/>
      <c r="I44" s="54"/>
      <c r="J44" s="1504"/>
      <c r="K44" s="1504"/>
      <c r="L44" s="1505"/>
      <c r="M44" s="1505"/>
    </row>
    <row r="45" spans="2:18" ht="70.150000000000006" customHeight="1" x14ac:dyDescent="0.25">
      <c r="B45" s="59"/>
      <c r="C45" s="293" t="s">
        <v>945</v>
      </c>
      <c r="D45" s="292" t="s">
        <v>943</v>
      </c>
      <c r="E45" s="1105"/>
      <c r="F45" s="1531" t="s">
        <v>160</v>
      </c>
      <c r="G45" s="1408"/>
      <c r="H45" s="69"/>
      <c r="I45" s="54"/>
      <c r="J45" s="1504"/>
      <c r="K45" s="1504"/>
      <c r="L45" s="1505"/>
      <c r="M45" s="1505"/>
    </row>
    <row r="46" spans="2:18" ht="15" customHeight="1" x14ac:dyDescent="0.25">
      <c r="B46" s="61"/>
      <c r="C46" s="75"/>
      <c r="D46" s="76"/>
      <c r="E46" s="76"/>
      <c r="F46" s="76"/>
      <c r="G46" s="76"/>
      <c r="H46" s="70"/>
      <c r="I46" s="54"/>
      <c r="J46" s="54"/>
      <c r="K46" s="54"/>
      <c r="L46" s="54"/>
    </row>
    <row r="47" spans="2:18" ht="24" customHeight="1" x14ac:dyDescent="0.25">
      <c r="C47" s="64"/>
      <c r="D47" s="54"/>
      <c r="E47" s="54"/>
      <c r="F47" s="54"/>
      <c r="G47" s="54"/>
      <c r="H47" s="54"/>
      <c r="I47" s="54"/>
      <c r="J47" s="54"/>
      <c r="K47" s="54"/>
      <c r="L47" s="54"/>
    </row>
    <row r="50" spans="2:14" ht="40.15" customHeight="1" x14ac:dyDescent="0.25">
      <c r="B50" s="66"/>
      <c r="C50" s="66" t="s">
        <v>492</v>
      </c>
      <c r="D50" s="57"/>
      <c r="E50" s="57"/>
      <c r="F50" s="57"/>
      <c r="G50" s="57"/>
      <c r="H50" s="58"/>
      <c r="I50" s="56"/>
      <c r="J50" s="56"/>
    </row>
    <row r="51" spans="2:14" ht="24" customHeight="1" x14ac:dyDescent="0.25">
      <c r="B51" s="59"/>
      <c r="H51" s="60"/>
      <c r="I51" s="65"/>
      <c r="J51" s="65"/>
    </row>
    <row r="52" spans="2:14" ht="24" customHeight="1" x14ac:dyDescent="0.25">
      <c r="B52" s="59"/>
      <c r="C52" s="1411" t="s">
        <v>493</v>
      </c>
      <c r="D52" s="1407"/>
      <c r="E52" s="1407"/>
      <c r="F52" s="1407"/>
      <c r="G52" s="115"/>
      <c r="H52" s="60"/>
      <c r="I52" s="65"/>
      <c r="J52" s="65"/>
    </row>
    <row r="53" spans="2:14" ht="24" customHeight="1" x14ac:dyDescent="0.25">
      <c r="B53" s="59"/>
      <c r="C53" s="92"/>
      <c r="D53" s="92"/>
      <c r="E53" s="92"/>
      <c r="F53" s="92"/>
      <c r="G53" s="92"/>
      <c r="H53" s="60"/>
      <c r="I53" s="65"/>
      <c r="J53" s="65"/>
    </row>
    <row r="54" spans="2:14" ht="24" customHeight="1" x14ac:dyDescent="0.25">
      <c r="B54" s="59"/>
      <c r="C54" s="1510" t="s">
        <v>634</v>
      </c>
      <c r="D54" s="1511"/>
      <c r="E54" s="1511"/>
      <c r="F54" s="1511"/>
      <c r="G54" s="1512"/>
      <c r="H54" s="60"/>
      <c r="I54" s="65"/>
      <c r="J54" s="65"/>
    </row>
    <row r="55" spans="2:14" ht="24" customHeight="1" x14ac:dyDescent="0.25">
      <c r="B55" s="59"/>
      <c r="C55" s="703" t="s">
        <v>641</v>
      </c>
      <c r="D55" s="1410" t="s">
        <v>1218</v>
      </c>
      <c r="E55" s="1410"/>
      <c r="F55" s="1410"/>
      <c r="G55" s="1410"/>
      <c r="H55" s="60"/>
      <c r="I55" s="65"/>
      <c r="J55" s="65"/>
    </row>
    <row r="56" spans="2:14" ht="24" customHeight="1" x14ac:dyDescent="0.25">
      <c r="B56" s="59"/>
      <c r="C56" s="703" t="s">
        <v>676</v>
      </c>
      <c r="D56" s="1410" t="s">
        <v>1229</v>
      </c>
      <c r="E56" s="1410"/>
      <c r="F56" s="1410"/>
      <c r="G56" s="1410"/>
      <c r="H56" s="60"/>
      <c r="I56" s="65"/>
      <c r="J56" s="65"/>
    </row>
    <row r="57" spans="2:14" ht="60" customHeight="1" x14ac:dyDescent="0.25">
      <c r="B57" s="59"/>
      <c r="C57" s="704" t="s">
        <v>642</v>
      </c>
      <c r="D57" s="1410" t="s">
        <v>1172</v>
      </c>
      <c r="E57" s="1410"/>
      <c r="F57" s="1410"/>
      <c r="G57" s="1410"/>
      <c r="H57" s="60"/>
      <c r="I57" s="65"/>
      <c r="J57" s="65"/>
    </row>
    <row r="58" spans="2:14" ht="24" customHeight="1" x14ac:dyDescent="0.25">
      <c r="B58" s="59"/>
      <c r="C58" s="1480"/>
      <c r="D58" s="1480"/>
      <c r="E58" s="1480"/>
      <c r="F58" s="1480"/>
      <c r="G58" s="95"/>
      <c r="H58" s="68"/>
      <c r="I58" s="53"/>
      <c r="J58" s="96"/>
      <c r="K58" s="96"/>
      <c r="L58" s="96"/>
      <c r="M58" s="96"/>
    </row>
    <row r="59" spans="2:14" ht="46.9" customHeight="1" x14ac:dyDescent="0.25">
      <c r="B59" s="59"/>
      <c r="C59" s="575" t="s">
        <v>944</v>
      </c>
      <c r="D59" s="574" t="s">
        <v>3</v>
      </c>
      <c r="E59" s="574" t="s">
        <v>751</v>
      </c>
      <c r="F59" s="1489" t="s">
        <v>640</v>
      </c>
      <c r="G59" s="1490"/>
      <c r="H59" s="68"/>
      <c r="I59" s="53"/>
      <c r="J59" s="96"/>
      <c r="K59" s="96"/>
      <c r="L59" s="96"/>
      <c r="M59" s="96"/>
    </row>
    <row r="60" spans="2:14" ht="45" customHeight="1" x14ac:dyDescent="0.3">
      <c r="B60" s="59"/>
      <c r="C60" s="575"/>
      <c r="D60" s="758"/>
      <c r="E60" s="510" t="str">
        <f>IFERROR(IF(SUM(E61:E64)=0, "",IF(SUM(E61:E64)&gt;100, "  A soma das TM é superior a 100%. Por favor, reveja.", IF(SUM(E61:E64)&lt;100, " A soma das TM é inferior a 100%. Por favor, reveja.", ""))),"")</f>
        <v/>
      </c>
      <c r="F60" s="226"/>
      <c r="G60" s="220"/>
      <c r="H60" s="68"/>
      <c r="I60" s="53"/>
      <c r="J60" s="94"/>
      <c r="K60" s="93"/>
    </row>
    <row r="61" spans="2:14" ht="70.150000000000006" customHeight="1" x14ac:dyDescent="0.25">
      <c r="B61" s="59"/>
      <c r="C61" s="293" t="s">
        <v>419</v>
      </c>
      <c r="D61" s="292" t="s">
        <v>77</v>
      </c>
      <c r="E61" s="1105"/>
      <c r="F61" s="1408" t="s">
        <v>160</v>
      </c>
      <c r="G61" s="1409"/>
      <c r="H61" s="69"/>
      <c r="I61" s="54"/>
      <c r="K61" s="90"/>
    </row>
    <row r="62" spans="2:14" ht="70.150000000000006" customHeight="1" x14ac:dyDescent="0.25">
      <c r="B62" s="59"/>
      <c r="C62" s="293" t="s">
        <v>417</v>
      </c>
      <c r="D62" s="292" t="s">
        <v>77</v>
      </c>
      <c r="E62" s="1105"/>
      <c r="F62" s="1408" t="s">
        <v>160</v>
      </c>
      <c r="G62" s="1409"/>
      <c r="H62" s="69"/>
      <c r="I62" s="54"/>
      <c r="K62" s="90"/>
    </row>
    <row r="63" spans="2:14" ht="70.150000000000006" customHeight="1" x14ac:dyDescent="0.25">
      <c r="B63" s="59"/>
      <c r="C63" s="293" t="s">
        <v>418</v>
      </c>
      <c r="D63" s="292" t="s">
        <v>77</v>
      </c>
      <c r="E63" s="1105"/>
      <c r="F63" s="1408" t="s">
        <v>160</v>
      </c>
      <c r="G63" s="1409"/>
      <c r="H63" s="69"/>
      <c r="I63" s="54"/>
      <c r="K63" s="90"/>
    </row>
    <row r="64" spans="2:14" ht="70.150000000000006" customHeight="1" x14ac:dyDescent="0.25">
      <c r="B64" s="59"/>
      <c r="C64" s="293" t="s">
        <v>948</v>
      </c>
      <c r="D64" s="292" t="s">
        <v>77</v>
      </c>
      <c r="E64" s="1105"/>
      <c r="F64" s="1408" t="s">
        <v>160</v>
      </c>
      <c r="G64" s="1409"/>
      <c r="H64" s="69"/>
      <c r="I64" s="54"/>
      <c r="J64" s="761"/>
      <c r="K64" s="646"/>
      <c r="L64" s="646"/>
      <c r="M64" s="1537"/>
      <c r="N64" s="1537"/>
    </row>
    <row r="65" spans="2:19" ht="70.150000000000006" customHeight="1" x14ac:dyDescent="0.25">
      <c r="B65" s="59"/>
      <c r="C65" s="575" t="s">
        <v>946</v>
      </c>
      <c r="D65" s="574" t="s">
        <v>3</v>
      </c>
      <c r="E65" s="574" t="s">
        <v>751</v>
      </c>
      <c r="F65" s="1489" t="s">
        <v>640</v>
      </c>
      <c r="G65" s="1490"/>
      <c r="H65" s="69"/>
      <c r="I65" s="54"/>
      <c r="J65" s="761"/>
      <c r="K65" s="646"/>
      <c r="L65" s="646"/>
      <c r="M65" s="646"/>
      <c r="N65" s="646"/>
    </row>
    <row r="66" spans="2:19" ht="45" customHeight="1" x14ac:dyDescent="0.25">
      <c r="B66" s="59"/>
      <c r="C66" s="575"/>
      <c r="D66" s="758"/>
      <c r="E66" s="510" t="str">
        <f>IFERROR(IF(SUM(E67:E70)=0, "",IF(SUM(E67:E70)&gt;100, "  A soma das TM é superior a 100%. Por favor, reveja.", IF(SUM(E67:E70)&lt;100, " A soma das TM é inferior a 100%. Por favor, reveja.",""))),"")</f>
        <v/>
      </c>
      <c r="F66" s="226"/>
      <c r="G66" s="220"/>
      <c r="H66" s="69"/>
      <c r="I66" s="54"/>
      <c r="J66" s="761"/>
      <c r="K66" s="761"/>
      <c r="L66" s="762"/>
      <c r="M66" s="763"/>
      <c r="N66" s="764"/>
    </row>
    <row r="67" spans="2:19" ht="70.150000000000006" customHeight="1" x14ac:dyDescent="0.25">
      <c r="B67" s="59"/>
      <c r="C67" s="293" t="s">
        <v>1209</v>
      </c>
      <c r="D67" s="292" t="s">
        <v>77</v>
      </c>
      <c r="E67" s="1105"/>
      <c r="F67" s="1408" t="s">
        <v>160</v>
      </c>
      <c r="G67" s="1409"/>
      <c r="H67" s="69"/>
      <c r="I67" s="54"/>
      <c r="J67" s="291"/>
      <c r="K67" s="307"/>
      <c r="L67" s="307"/>
      <c r="M67" s="1518"/>
      <c r="N67" s="1518"/>
    </row>
    <row r="68" spans="2:19" ht="70.150000000000006" customHeight="1" x14ac:dyDescent="0.25">
      <c r="B68" s="59"/>
      <c r="C68" s="293" t="s">
        <v>1210</v>
      </c>
      <c r="D68" s="292" t="s">
        <v>77</v>
      </c>
      <c r="E68" s="1105"/>
      <c r="F68" s="1408" t="s">
        <v>160</v>
      </c>
      <c r="G68" s="1409"/>
      <c r="H68" s="69"/>
      <c r="I68" s="54"/>
      <c r="J68" s="291"/>
      <c r="K68" s="307"/>
      <c r="L68" s="307"/>
      <c r="M68" s="1518"/>
      <c r="N68" s="1518"/>
    </row>
    <row r="69" spans="2:19" ht="70.150000000000006" customHeight="1" x14ac:dyDescent="0.25">
      <c r="B69" s="59"/>
      <c r="C69" s="293" t="s">
        <v>1211</v>
      </c>
      <c r="D69" s="292" t="s">
        <v>77</v>
      </c>
      <c r="E69" s="1105"/>
      <c r="F69" s="1408" t="s">
        <v>160</v>
      </c>
      <c r="G69" s="1409"/>
      <c r="H69" s="69"/>
      <c r="I69" s="54"/>
      <c r="J69" s="291"/>
      <c r="K69" s="307"/>
      <c r="L69" s="307"/>
      <c r="M69" s="1518"/>
      <c r="N69" s="1518"/>
    </row>
    <row r="70" spans="2:19" ht="70.150000000000006" customHeight="1" x14ac:dyDescent="0.25">
      <c r="B70" s="59"/>
      <c r="C70" s="293" t="s">
        <v>1212</v>
      </c>
      <c r="D70" s="292" t="s">
        <v>77</v>
      </c>
      <c r="E70" s="1105"/>
      <c r="F70" s="1408" t="s">
        <v>160</v>
      </c>
      <c r="G70" s="1409"/>
      <c r="H70" s="69"/>
      <c r="I70" s="54"/>
      <c r="J70" s="291"/>
      <c r="K70" s="307"/>
      <c r="L70" s="307"/>
      <c r="M70" s="1518"/>
      <c r="N70" s="1518"/>
    </row>
    <row r="71" spans="2:19" ht="15" customHeight="1" x14ac:dyDescent="0.25">
      <c r="B71" s="61"/>
      <c r="C71" s="75"/>
      <c r="D71" s="76"/>
      <c r="E71" s="76"/>
      <c r="F71" s="76"/>
      <c r="G71" s="76"/>
      <c r="H71" s="70"/>
      <c r="I71" s="54"/>
      <c r="J71" s="54"/>
      <c r="K71" s="54"/>
      <c r="L71" s="54"/>
    </row>
    <row r="75" spans="2:19" ht="40.15" customHeight="1" x14ac:dyDescent="0.25">
      <c r="B75" s="66"/>
      <c r="C75" s="66" t="s">
        <v>494</v>
      </c>
      <c r="D75" s="57"/>
      <c r="E75" s="57"/>
      <c r="F75" s="57"/>
      <c r="G75" s="57"/>
      <c r="H75" s="58"/>
    </row>
    <row r="76" spans="2:19" ht="24" customHeight="1" x14ac:dyDescent="0.25">
      <c r="B76" s="59"/>
      <c r="H76" s="60"/>
    </row>
    <row r="77" spans="2:19" ht="24" customHeight="1" x14ac:dyDescent="0.25">
      <c r="B77" s="59"/>
      <c r="C77" s="1411" t="s">
        <v>495</v>
      </c>
      <c r="D77" s="1407"/>
      <c r="E77" s="1407"/>
      <c r="F77" s="1407"/>
      <c r="G77" s="115"/>
      <c r="H77" s="60"/>
      <c r="J77" s="55"/>
      <c r="K77" s="48"/>
      <c r="R77" s="55"/>
      <c r="S77" s="48"/>
    </row>
    <row r="78" spans="2:19" ht="40.15" customHeight="1" x14ac:dyDescent="0.25">
      <c r="B78" s="59"/>
      <c r="C78" s="592" t="s">
        <v>114</v>
      </c>
      <c r="D78" s="593" t="s">
        <v>3</v>
      </c>
      <c r="E78" s="593" t="s">
        <v>671</v>
      </c>
      <c r="F78" s="593" t="s">
        <v>673</v>
      </c>
      <c r="G78" s="212"/>
      <c r="H78" s="60"/>
      <c r="J78" s="55"/>
      <c r="K78" s="48"/>
      <c r="R78" s="55"/>
      <c r="S78" s="48"/>
    </row>
    <row r="79" spans="2:19" ht="40.15" customHeight="1" x14ac:dyDescent="0.25">
      <c r="B79" s="59"/>
      <c r="C79" s="311" t="s">
        <v>866</v>
      </c>
      <c r="D79" s="312" t="s">
        <v>681</v>
      </c>
      <c r="E79" s="794">
        <f>IFERROR(E80-E81,"")</f>
        <v>0</v>
      </c>
      <c r="F79" s="795">
        <f>IFERROR(F80-F81,"")</f>
        <v>0</v>
      </c>
      <c r="G79" s="213"/>
      <c r="H79" s="60"/>
      <c r="J79" s="55"/>
      <c r="K79" s="48"/>
      <c r="R79" s="55"/>
      <c r="S79" s="48"/>
    </row>
    <row r="80" spans="2:19" ht="40.15" customHeight="1" x14ac:dyDescent="0.25">
      <c r="B80" s="59"/>
      <c r="C80" s="313" t="s">
        <v>867</v>
      </c>
      <c r="D80" s="314" t="s">
        <v>681</v>
      </c>
      <c r="E80" s="796">
        <f>IFERROR('FACalc_vias navegáveis int.'!L14,"")</f>
        <v>0</v>
      </c>
      <c r="F80" s="797">
        <f>IFERROR('FACalc_vias navegáveis int.'!O14,"")</f>
        <v>0</v>
      </c>
      <c r="G80" s="604" t="str">
        <f>IF(F21= "", "!Preencher Fator de Emissão de eletricidade", " " )</f>
        <v>!Preencher Fator de Emissão de eletricidade</v>
      </c>
      <c r="H80" s="60"/>
      <c r="J80" s="55"/>
      <c r="K80" s="48"/>
      <c r="R80" s="55"/>
      <c r="S80" s="48"/>
    </row>
    <row r="81" spans="2:19" ht="40.15" customHeight="1" x14ac:dyDescent="0.25">
      <c r="B81" s="59"/>
      <c r="C81" s="316" t="s">
        <v>868</v>
      </c>
      <c r="D81" s="317" t="s">
        <v>681</v>
      </c>
      <c r="E81" s="798">
        <f>IFERROR('FACalc_vias navegáveis int.'!D60,"")</f>
        <v>0</v>
      </c>
      <c r="F81" s="799">
        <f>IFERROR('FACalc_vias navegáveis int.'!C63,"")</f>
        <v>0</v>
      </c>
      <c r="G81" s="213"/>
      <c r="H81" s="60"/>
      <c r="J81" s="55"/>
      <c r="K81" s="48"/>
      <c r="R81" s="55"/>
      <c r="S81" s="48"/>
    </row>
    <row r="82" spans="2:19" ht="40.15" customHeight="1" x14ac:dyDescent="0.25">
      <c r="B82" s="59"/>
      <c r="C82" s="790" t="s">
        <v>869</v>
      </c>
      <c r="D82" s="791" t="s">
        <v>681</v>
      </c>
      <c r="E82" s="800">
        <f>IFERROR(-E79,"")</f>
        <v>0</v>
      </c>
      <c r="F82" s="801">
        <f>IFERROR(-F79,"")</f>
        <v>0</v>
      </c>
      <c r="G82" s="213"/>
      <c r="H82" s="60"/>
      <c r="J82" s="55"/>
      <c r="K82" s="48"/>
      <c r="R82" s="55"/>
      <c r="S82" s="48"/>
    </row>
    <row r="83" spans="2:19" ht="48" customHeight="1" x14ac:dyDescent="0.25">
      <c r="B83" s="59"/>
      <c r="C83" s="709" t="s">
        <v>870</v>
      </c>
      <c r="D83" s="1238" t="s">
        <v>1303</v>
      </c>
      <c r="E83" s="528" t="str">
        <f>IFERROR(E79*'FACalc_vias navegáveis int.'!$Y$10,"")</f>
        <v/>
      </c>
      <c r="F83" s="803" t="str">
        <f>IFERROR(F79*'FACalc_vias navegáveis int.'!$Y$10,"")</f>
        <v/>
      </c>
      <c r="G83" s="682" t="str">
        <f>IF(E83="","!Preencher Ano de início da exploração (ID_Identificação do Projeto)","" )</f>
        <v>!Preencher Ano de início da exploração (ID_Identificação do Projeto)</v>
      </c>
      <c r="H83" s="60"/>
      <c r="J83" s="55"/>
      <c r="K83" s="48"/>
      <c r="R83" s="55"/>
      <c r="S83" s="48"/>
    </row>
    <row r="84" spans="2:19" ht="46.9" customHeight="1" x14ac:dyDescent="0.25">
      <c r="B84" s="59"/>
      <c r="C84" s="603"/>
      <c r="D84" s="307"/>
      <c r="E84" s="602"/>
      <c r="F84" s="602"/>
      <c r="G84" s="811"/>
      <c r="H84" s="60"/>
      <c r="J84" s="55"/>
      <c r="K84" s="48"/>
      <c r="R84" s="55"/>
      <c r="S84" s="48"/>
    </row>
    <row r="85" spans="2:19" x14ac:dyDescent="0.25">
      <c r="B85" s="59"/>
      <c r="C85" s="1407" t="s">
        <v>682</v>
      </c>
      <c r="D85" s="1407"/>
      <c r="E85" s="1407"/>
      <c r="F85" s="1407"/>
      <c r="G85" s="115"/>
      <c r="H85" s="60"/>
      <c r="J85" s="55"/>
      <c r="K85" s="48"/>
      <c r="R85" s="55"/>
      <c r="S85" s="48"/>
    </row>
    <row r="86" spans="2:19" ht="40.15" customHeight="1" x14ac:dyDescent="0.25">
      <c r="B86" s="59"/>
      <c r="C86" s="575" t="s">
        <v>944</v>
      </c>
      <c r="D86" s="591" t="s">
        <v>3</v>
      </c>
      <c r="E86" s="591" t="s">
        <v>671</v>
      </c>
      <c r="F86" s="591" t="s">
        <v>673</v>
      </c>
      <c r="G86" s="214"/>
      <c r="H86" s="60"/>
      <c r="J86" s="55"/>
      <c r="K86" s="48"/>
      <c r="R86" s="55"/>
      <c r="S86" s="48"/>
    </row>
    <row r="87" spans="2:19" ht="40.15" customHeight="1" x14ac:dyDescent="0.25">
      <c r="B87" s="59"/>
      <c r="C87" s="329" t="s">
        <v>504</v>
      </c>
      <c r="D87" s="330" t="s">
        <v>681</v>
      </c>
      <c r="E87" s="520">
        <f>IFERROR(E88-E89," ")</f>
        <v>0</v>
      </c>
      <c r="F87" s="521">
        <f>IFERROR(F88-F89,"")</f>
        <v>0</v>
      </c>
      <c r="G87" s="213"/>
      <c r="H87" s="60"/>
      <c r="J87" s="55"/>
      <c r="K87" s="48"/>
      <c r="R87" s="55"/>
      <c r="S87" s="48"/>
    </row>
    <row r="88" spans="2:19" ht="40.15" customHeight="1" x14ac:dyDescent="0.25">
      <c r="B88" s="59"/>
      <c r="C88" s="331" t="s">
        <v>334</v>
      </c>
      <c r="D88" s="332" t="s">
        <v>681</v>
      </c>
      <c r="E88" s="449">
        <f>IFERROR('FACalc_vias navegáveis int.'!L11,"")</f>
        <v>0</v>
      </c>
      <c r="F88" s="450">
        <f>IFERROR('FACalc_vias navegáveis int.'!O11,"")</f>
        <v>0</v>
      </c>
      <c r="G88" s="213"/>
      <c r="H88" s="60"/>
      <c r="J88" s="55"/>
      <c r="K88" s="48"/>
      <c r="R88" s="55"/>
      <c r="S88" s="48"/>
    </row>
    <row r="89" spans="2:19" ht="40.15" customHeight="1" x14ac:dyDescent="0.25">
      <c r="B89" s="59"/>
      <c r="C89" s="333" t="s">
        <v>360</v>
      </c>
      <c r="D89" s="334" t="s">
        <v>681</v>
      </c>
      <c r="E89" s="318">
        <f>IFERROR('FACalc_vias navegáveis int.'!D59,"")</f>
        <v>0</v>
      </c>
      <c r="F89" s="319">
        <f>IFERROR(E89+'FACalc_vias navegáveis int.'!D82,"")</f>
        <v>0</v>
      </c>
      <c r="G89" s="213"/>
      <c r="H89" s="60"/>
      <c r="J89" s="55"/>
      <c r="K89" s="48"/>
      <c r="R89" s="55"/>
      <c r="S89" s="48"/>
    </row>
    <row r="90" spans="2:19" ht="40.15" customHeight="1" x14ac:dyDescent="0.25">
      <c r="B90" s="59"/>
      <c r="C90" s="575" t="s">
        <v>946</v>
      </c>
      <c r="D90" s="591" t="s">
        <v>3</v>
      </c>
      <c r="E90" s="591" t="s">
        <v>671</v>
      </c>
      <c r="F90" s="591" t="s">
        <v>673</v>
      </c>
      <c r="G90" s="214"/>
      <c r="H90" s="60"/>
      <c r="J90" s="55"/>
      <c r="K90" s="48"/>
      <c r="R90" s="55"/>
      <c r="S90" s="48"/>
    </row>
    <row r="91" spans="2:19" ht="40.15" customHeight="1" x14ac:dyDescent="0.25">
      <c r="B91" s="59"/>
      <c r="C91" s="329" t="s">
        <v>504</v>
      </c>
      <c r="D91" s="330" t="s">
        <v>681</v>
      </c>
      <c r="E91" s="520">
        <f>IFERROR(E92-E93,"")</f>
        <v>0</v>
      </c>
      <c r="F91" s="521">
        <f>IFERROR(F92-F93,"")</f>
        <v>0</v>
      </c>
      <c r="G91" s="213"/>
      <c r="H91" s="60"/>
      <c r="J91" s="55"/>
      <c r="K91" s="48"/>
      <c r="R91" s="55"/>
      <c r="S91" s="48"/>
    </row>
    <row r="92" spans="2:19" ht="40.15" customHeight="1" x14ac:dyDescent="0.25">
      <c r="B92" s="59"/>
      <c r="C92" s="331" t="s">
        <v>334</v>
      </c>
      <c r="D92" s="332" t="s">
        <v>681</v>
      </c>
      <c r="E92" s="449">
        <f>IFERROR('FACalc_vias navegáveis int.'!L12,"")</f>
        <v>0</v>
      </c>
      <c r="F92" s="450">
        <f>IFERROR('FACalc_vias navegáveis int.'!O12,"")</f>
        <v>0</v>
      </c>
      <c r="G92" s="213"/>
      <c r="H92" s="60"/>
      <c r="J92" s="55"/>
      <c r="K92" s="48"/>
      <c r="R92" s="55"/>
      <c r="S92" s="48"/>
    </row>
    <row r="93" spans="2:19" ht="40.15" customHeight="1" x14ac:dyDescent="0.25">
      <c r="B93" s="59"/>
      <c r="C93" s="333" t="s">
        <v>360</v>
      </c>
      <c r="D93" s="334" t="s">
        <v>681</v>
      </c>
      <c r="E93" s="318">
        <f>IFERROR('FACalc_vias navegáveis int.'!E59,"")</f>
        <v>0</v>
      </c>
      <c r="F93" s="319">
        <f>IFERROR(E93+'FACalc_vias navegáveis int.'!E82,"")</f>
        <v>0</v>
      </c>
      <c r="G93" s="213"/>
      <c r="H93" s="60"/>
      <c r="J93" s="55"/>
      <c r="K93" s="48"/>
      <c r="R93" s="55"/>
      <c r="S93" s="48"/>
    </row>
    <row r="94" spans="2:19" ht="40.15" customHeight="1" x14ac:dyDescent="0.25">
      <c r="B94" s="59"/>
      <c r="C94" s="603"/>
      <c r="D94" s="307"/>
      <c r="E94" s="602"/>
      <c r="F94" s="602"/>
      <c r="G94" s="811"/>
      <c r="H94" s="60"/>
      <c r="J94" s="55"/>
      <c r="K94" s="48"/>
      <c r="R94" s="55"/>
      <c r="S94" s="48"/>
    </row>
    <row r="95" spans="2:19" x14ac:dyDescent="0.25">
      <c r="B95" s="59"/>
      <c r="C95" s="1407" t="s">
        <v>972</v>
      </c>
      <c r="D95" s="1407"/>
      <c r="E95" s="1407"/>
      <c r="F95" s="1407"/>
      <c r="G95" s="115"/>
      <c r="H95" s="60"/>
      <c r="J95" s="54"/>
      <c r="K95" s="64"/>
      <c r="R95" s="54"/>
      <c r="S95" s="64"/>
    </row>
    <row r="96" spans="2:19" ht="40.15" customHeight="1" x14ac:dyDescent="0.25">
      <c r="B96" s="59"/>
      <c r="C96" s="301"/>
      <c r="D96" s="301" t="s">
        <v>3</v>
      </c>
      <c r="E96" s="301" t="s">
        <v>1347</v>
      </c>
      <c r="F96" s="212"/>
      <c r="G96" s="212"/>
      <c r="H96" s="60"/>
      <c r="J96" s="54"/>
      <c r="K96" s="64"/>
      <c r="R96" s="54"/>
      <c r="S96" s="64"/>
    </row>
    <row r="97" spans="2:19" s="26" customFormat="1" ht="49.9" customHeight="1" x14ac:dyDescent="0.3">
      <c r="B97" s="305"/>
      <c r="C97" s="804" t="s">
        <v>672</v>
      </c>
      <c r="D97" s="805" t="s">
        <v>889</v>
      </c>
      <c r="E97" s="807" t="str">
        <f>IFERROR((E98/'FACalc_vias navegáveis int.'!C12),"")</f>
        <v/>
      </c>
      <c r="F97" s="378"/>
      <c r="G97" s="378"/>
      <c r="H97" s="379"/>
      <c r="J97" s="307"/>
      <c r="K97" s="307"/>
      <c r="R97" s="307"/>
      <c r="S97" s="307"/>
    </row>
    <row r="98" spans="2:19" s="26" customFormat="1" ht="49.9" customHeight="1" x14ac:dyDescent="0.3">
      <c r="B98" s="305"/>
      <c r="C98" s="1248" t="s">
        <v>1321</v>
      </c>
      <c r="D98" s="805" t="s">
        <v>679</v>
      </c>
      <c r="E98" s="807">
        <f>IFERROR(E88,"")</f>
        <v>0</v>
      </c>
      <c r="F98" s="378"/>
      <c r="G98" s="378"/>
      <c r="H98" s="379"/>
      <c r="J98" s="508"/>
      <c r="K98" s="508"/>
      <c r="L98" s="508"/>
      <c r="R98" s="307"/>
      <c r="S98" s="307"/>
    </row>
    <row r="99" spans="2:19" s="26" customFormat="1" ht="49.9" customHeight="1" x14ac:dyDescent="0.3">
      <c r="B99" s="305"/>
      <c r="C99" s="1248" t="s">
        <v>1339</v>
      </c>
      <c r="D99" s="805" t="s">
        <v>887</v>
      </c>
      <c r="E99" s="807" t="str">
        <f>IFERROR(E98/E42,"")</f>
        <v/>
      </c>
      <c r="F99" s="378"/>
      <c r="G99" s="378"/>
      <c r="H99" s="379"/>
      <c r="J99" s="508"/>
      <c r="K99" s="508"/>
      <c r="L99" s="508"/>
      <c r="R99" s="307"/>
      <c r="S99" s="307"/>
    </row>
    <row r="100" spans="2:19" s="26" customFormat="1" ht="49.9" customHeight="1" x14ac:dyDescent="0.3">
      <c r="B100" s="305"/>
      <c r="C100" s="1248" t="s">
        <v>1346</v>
      </c>
      <c r="D100" s="808" t="s">
        <v>780</v>
      </c>
      <c r="E100" s="807" t="str">
        <f>IFERROR(E98/'FACalc_vias navegáveis int.'!H11,"")</f>
        <v/>
      </c>
      <c r="F100" s="380"/>
      <c r="G100" s="380"/>
      <c r="H100" s="379"/>
      <c r="J100" s="307"/>
      <c r="K100" s="307"/>
      <c r="R100" s="307"/>
      <c r="S100" s="307"/>
    </row>
    <row r="101" spans="2:19" ht="15" customHeight="1" x14ac:dyDescent="0.25">
      <c r="B101" s="61"/>
      <c r="C101" s="75"/>
      <c r="D101" s="76"/>
      <c r="E101" s="76"/>
      <c r="F101" s="76"/>
      <c r="G101" s="76"/>
      <c r="H101" s="70"/>
      <c r="I101" s="54"/>
      <c r="J101" s="54"/>
      <c r="K101" s="54"/>
    </row>
  </sheetData>
  <sheetProtection algorithmName="SHA-512" hashValue="ZEjdPUiC/ZAon/IgHtfmPIXm8Sqiub9mjV7a1t3mj/TC0EslqOJdhX+Nbolkf31tPXRphzVesJ1q7omAz02XMg==" saltValue="XZcUzmwu7gdInscpLDkaag==" spinCount="100000" sheet="1" objects="1" scenarios="1" selectLockedCells="1"/>
  <mergeCells count="68">
    <mergeCell ref="R23:R27"/>
    <mergeCell ref="C27:E27"/>
    <mergeCell ref="C77:F77"/>
    <mergeCell ref="C52:F52"/>
    <mergeCell ref="C58:F58"/>
    <mergeCell ref="F61:G61"/>
    <mergeCell ref="F62:G62"/>
    <mergeCell ref="F39:G39"/>
    <mergeCell ref="F40:G40"/>
    <mergeCell ref="F43:H43"/>
    <mergeCell ref="M64:N64"/>
    <mergeCell ref="M67:N67"/>
    <mergeCell ref="M68:N68"/>
    <mergeCell ref="M69:N69"/>
    <mergeCell ref="F38:G38"/>
    <mergeCell ref="F42:G42"/>
    <mergeCell ref="F44:G44"/>
    <mergeCell ref="P23:P27"/>
    <mergeCell ref="Q23:Q27"/>
    <mergeCell ref="M41:M45"/>
    <mergeCell ref="J41:K45"/>
    <mergeCell ref="F41:G41"/>
    <mergeCell ref="F45:G45"/>
    <mergeCell ref="L41:L45"/>
    <mergeCell ref="U18:U23"/>
    <mergeCell ref="V18:Y18"/>
    <mergeCell ref="V19:Y19"/>
    <mergeCell ref="V20:Y20"/>
    <mergeCell ref="V21:Y21"/>
    <mergeCell ref="V23:X23"/>
    <mergeCell ref="C6:G6"/>
    <mergeCell ref="C7:C10"/>
    <mergeCell ref="D7:G7"/>
    <mergeCell ref="D8:G8"/>
    <mergeCell ref="D9:G9"/>
    <mergeCell ref="D10:G10"/>
    <mergeCell ref="D57:G57"/>
    <mergeCell ref="C11:C16"/>
    <mergeCell ref="D11:G11"/>
    <mergeCell ref="D12:G12"/>
    <mergeCell ref="D13:G13"/>
    <mergeCell ref="D14:G14"/>
    <mergeCell ref="D15:G15"/>
    <mergeCell ref="D16:F16"/>
    <mergeCell ref="C22:D22"/>
    <mergeCell ref="C24:D24"/>
    <mergeCell ref="C30:G30"/>
    <mergeCell ref="C31:C34"/>
    <mergeCell ref="D31:G31"/>
    <mergeCell ref="D32:G32"/>
    <mergeCell ref="D33:G33"/>
    <mergeCell ref="D34:G34"/>
    <mergeCell ref="F59:G59"/>
    <mergeCell ref="M70:N70"/>
    <mergeCell ref="C85:F85"/>
    <mergeCell ref="C95:F95"/>
    <mergeCell ref="K4:L4"/>
    <mergeCell ref="J5:L9"/>
    <mergeCell ref="F70:G70"/>
    <mergeCell ref="F65:G65"/>
    <mergeCell ref="F67:G67"/>
    <mergeCell ref="F68:G68"/>
    <mergeCell ref="F69:G69"/>
    <mergeCell ref="F63:G63"/>
    <mergeCell ref="F64:G64"/>
    <mergeCell ref="C54:G54"/>
    <mergeCell ref="D55:G55"/>
    <mergeCell ref="D56:G56"/>
  </mergeCells>
  <dataValidations count="2">
    <dataValidation errorStyle="warning" allowBlank="1" showInputMessage="1" showErrorMessage="1" error="Não Introduzir valor" sqref="E39 E44:E45 E41:E42 F22:F26" xr:uid="{7D3D6D81-F2E5-4D1F-A1FE-458F538F41E7}"/>
    <dataValidation type="list" allowBlank="1" showInputMessage="1" showErrorMessage="1" sqref="K4:L4" xr:uid="{82053396-CB8F-41B5-A2D3-61433A09EBA9}">
      <formula1>$T$4:$T$6</formula1>
    </dataValidation>
  </dataValidations>
  <hyperlinks>
    <hyperlink ref="G16" location="'Fatores de Emissão'!A1" display="Fatores de Emissão" xr:uid="{FC28C253-28DC-40CB-9426-F76B58064CC1}"/>
    <hyperlink ref="G80" location="'TM4_vias navegáveis interiores'!F21" display="'TM4_vias navegáveis interiores'!F21" xr:uid="{9D2C1504-78A7-46CF-AC7E-4ABC295CE1F2}"/>
  </hyperlink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 id="{0DCDE69D-63C3-4F1F-A2CD-4E860E16C187}">
            <xm:f>FACalc_rodovia!$C$11=FAListas!#REF!</xm:f>
            <x14:dxf>
              <fill>
                <patternFill>
                  <bgColor theme="1"/>
                </patternFill>
              </fill>
            </x14:dxf>
          </x14:cfRule>
          <xm:sqref>C79:D84 C94:D94</xm:sqref>
        </x14:conditionalFormatting>
        <x14:conditionalFormatting xmlns:xm="http://schemas.microsoft.com/office/excel/2006/main">
          <x14:cfRule type="expression" priority="4" id="{B019581C-340B-49ED-A638-7E035EBF33A7}">
            <xm:f>FACalc_rodovia!$C$11=FAListas!#REF!</xm:f>
            <x14:dxf>
              <fill>
                <patternFill>
                  <bgColor theme="1"/>
                </patternFill>
              </fill>
            </x14:dxf>
          </x14:cfRule>
          <xm:sqref>C78:F78</xm:sqref>
        </x14:conditionalFormatting>
        <x14:conditionalFormatting xmlns:xm="http://schemas.microsoft.com/office/excel/2006/main">
          <x14:cfRule type="expression" priority="9" id="{2F0EB287-B50F-4A5A-9FDD-6CEE97628C2E}">
            <xm:f>FACalc_ferrovia!$C$10=FAListas!#REF!</xm:f>
            <x14:dxf>
              <fill>
                <patternFill>
                  <bgColor theme="1"/>
                </patternFill>
              </fill>
            </x14:dxf>
          </x14:cfRule>
          <xm:sqref>E39</xm:sqref>
        </x14:conditionalFormatting>
        <x14:conditionalFormatting xmlns:xm="http://schemas.microsoft.com/office/excel/2006/main">
          <x14:cfRule type="expression" priority="889" id="{31407EF7-D1C7-4EC5-A25C-A254DC08170D}">
            <xm:f>#REF!=FAListas!#REF!</xm:f>
            <x14:dxf>
              <fill>
                <patternFill>
                  <bgColor theme="1"/>
                </patternFill>
              </fill>
            </x14:dxf>
          </x14:cfRule>
          <xm:sqref>E61:E64 E67:E70</xm:sqref>
        </x14:conditionalFormatting>
        <x14:conditionalFormatting xmlns:xm="http://schemas.microsoft.com/office/excel/2006/main">
          <x14:cfRule type="expression" priority="890" id="{CE2A7A40-0A0C-484A-9BE9-BCD4533A41B0}">
            <xm:f>IF(#REF!=FAListas!$C$6,TRUE, IF(#REF!=FAListas!#REF!, TRUE,""))</xm:f>
            <x14:dxf>
              <fill>
                <patternFill>
                  <bgColor theme="1"/>
                </patternFill>
              </fill>
            </x14:dxf>
          </x14:cfRule>
          <xm:sqref>E79:F84 E94:F94</xm:sqref>
        </x14:conditionalFormatting>
        <x14:conditionalFormatting xmlns:xm="http://schemas.microsoft.com/office/excel/2006/main">
          <x14:cfRule type="expression" priority="1" id="{6A3B231A-EEC0-4B82-9FB3-A7A5B24636C3}">
            <xm:f>IF(#REF!=FAListas!$C$6,TRUE, IF(#REF!=FAListas!#REF!, TRUE,""))</xm:f>
            <x14:dxf>
              <fill>
                <patternFill>
                  <bgColor theme="1"/>
                </patternFill>
              </fill>
            </x14:dxf>
          </x14:cfRule>
          <xm:sqref>E87:F87 E91:F91</xm:sqref>
        </x14:conditionalFormatting>
        <x14:conditionalFormatting xmlns:xm="http://schemas.microsoft.com/office/excel/2006/main">
          <x14:cfRule type="expression" priority="34" id="{6FC186AC-3728-4E10-8AA0-D75D23990CD2}">
            <xm:f>IF(E28=FAListas!$C$57,TRUE, "")</xm:f>
            <x14:dxf>
              <fill>
                <patternFill patternType="solid">
                  <fgColor rgb="FFFF0000"/>
                  <bgColor theme="1"/>
                </patternFill>
              </fill>
            </x14:dxf>
          </x14:cfRule>
          <xm:sqref>F28:F29</xm:sqref>
        </x14:conditionalFormatting>
        <x14:conditionalFormatting xmlns:xm="http://schemas.microsoft.com/office/excel/2006/main">
          <x14:cfRule type="expression" priority="602" id="{D707F813-FF5C-493C-AC5F-DB3E27FAC84F}">
            <xm:f>#REF!=FAListas!$C$6</xm:f>
            <x14:dxf>
              <fill>
                <patternFill patternType="solid">
                  <fgColor rgb="FFFF0000"/>
                  <bgColor theme="1"/>
                </patternFill>
              </fill>
            </x14:dxf>
          </x14:cfRule>
          <xm:sqref>F41:F42 F44:F45</xm:sqref>
        </x14:conditionalFormatting>
        <x14:conditionalFormatting xmlns:xm="http://schemas.microsoft.com/office/excel/2006/main">
          <x14:cfRule type="expression" priority="10" id="{686385E8-D49E-4813-A2CF-4D1C86682D1A}">
            <xm:f>$E$23=FAListas!$C$57</xm:f>
            <x14:dxf>
              <font>
                <color theme="1"/>
              </font>
              <fill>
                <patternFill patternType="solid">
                  <fgColor rgb="FFFF0000"/>
                  <bgColor theme="1"/>
                </patternFill>
              </fill>
            </x14:dxf>
          </x14:cfRule>
          <xm:sqref>F22:G22</xm:sqref>
        </x14:conditionalFormatting>
        <x14:conditionalFormatting xmlns:xm="http://schemas.microsoft.com/office/excel/2006/main">
          <x14:cfRule type="expression" priority="14" id="{5C4AD241-B760-4EDC-BF9A-C86E0EC463FD}">
            <xm:f>$E$23=FAListas!$C$57</xm:f>
            <x14:dxf>
              <fill>
                <patternFill>
                  <bgColor theme="1"/>
                </patternFill>
              </fill>
            </x14:dxf>
          </x14:cfRule>
          <xm:sqref>F23:G23</xm:sqref>
        </x14:conditionalFormatting>
        <x14:conditionalFormatting xmlns:xm="http://schemas.microsoft.com/office/excel/2006/main">
          <x14:cfRule type="expression" priority="6" id="{BF229E75-3458-4358-AACA-DD44B76BF68A}">
            <xm:f>$E$23=FAListas!$C$57</xm:f>
            <x14:dxf>
              <font>
                <color theme="1"/>
              </font>
              <fill>
                <patternFill patternType="solid">
                  <fgColor rgb="FFFF0000"/>
                  <bgColor theme="1"/>
                </patternFill>
              </fill>
            </x14:dxf>
          </x14:cfRule>
          <xm:sqref>F24:G24</xm:sqref>
        </x14:conditionalFormatting>
        <x14:conditionalFormatting xmlns:xm="http://schemas.microsoft.com/office/excel/2006/main">
          <x14:cfRule type="expression" priority="11" id="{76460229-30A2-4086-AB67-629BEEDE5B9A}">
            <xm:f>$E$26=FAListas!$C$57</xm:f>
            <x14:dxf>
              <fill>
                <patternFill>
                  <bgColor theme="1"/>
                </patternFill>
              </fill>
            </x14:dxf>
          </x14:cfRule>
          <xm:sqref>G22</xm:sqref>
        </x14:conditionalFormatting>
        <x14:conditionalFormatting xmlns:xm="http://schemas.microsoft.com/office/excel/2006/main">
          <x14:cfRule type="expression" priority="7" id="{FA506683-99E1-442C-8D68-13352A3F9D7E}">
            <xm:f>$E$26=FAListas!$C$57</xm:f>
            <x14:dxf>
              <fill>
                <patternFill>
                  <bgColor theme="1"/>
                </patternFill>
              </fill>
            </x14:dxf>
          </x14:cfRule>
          <xm:sqref>G24</xm:sqref>
        </x14:conditionalFormatting>
        <x14:conditionalFormatting xmlns:xm="http://schemas.microsoft.com/office/excel/2006/main">
          <x14:cfRule type="expression" priority="16" id="{5C7C13FE-3905-4410-8C5B-4E18EA00BB9C}">
            <xm:f>IF(F25=FAListas!$C$57,TRUE, "")</xm:f>
            <x14:dxf>
              <fill>
                <patternFill patternType="solid">
                  <fgColor rgb="FFFF0000"/>
                  <bgColor theme="1"/>
                </patternFill>
              </fill>
            </x14:dxf>
          </x14:cfRule>
          <xm:sqref>G25:G26</xm:sqref>
        </x14:conditionalFormatting>
        <x14:conditionalFormatting xmlns:xm="http://schemas.microsoft.com/office/excel/2006/main">
          <x14:cfRule type="expression" priority="5" id="{9AF5E3B6-A4D8-4396-AC4E-7028AF790B6E}">
            <xm:f>FACalc_ferrovia!$C$10=FAListas!#REF!</xm:f>
            <x14:dxf>
              <fill>
                <patternFill>
                  <bgColor theme="1"/>
                </patternFill>
              </fill>
            </x14:dxf>
          </x14:cfRule>
          <xm:sqref>G83:G84 G94</xm:sqref>
        </x14:conditionalFormatting>
        <x14:conditionalFormatting xmlns:xm="http://schemas.microsoft.com/office/excel/2006/main">
          <x14:cfRule type="expression" priority="8" id="{E36685CF-1879-414D-80C2-5619B1096FA5}">
            <xm:f>#REF!=FAListas!#REF!</xm:f>
            <x14:dxf>
              <fill>
                <patternFill>
                  <bgColor theme="1"/>
                </patternFill>
              </fill>
            </x14:dxf>
          </x14:cfRule>
          <xm:sqref>L67:L70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067AB17-FF58-4C77-8F60-2D62AC17BC9D}">
          <x14:formula1>
            <xm:f>FAListas!$C$55:$C$57</xm:f>
          </x14:formula1>
          <xm:sqref>E23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7D1EB-DA38-4BED-88C2-22B36CDFBD68}">
  <dimension ref="A2:Y108"/>
  <sheetViews>
    <sheetView topLeftCell="N11" zoomScale="75" zoomScaleNormal="75" workbookViewId="0">
      <selection activeCell="Y11" sqref="Y11"/>
    </sheetView>
  </sheetViews>
  <sheetFormatPr defaultRowHeight="30" customHeight="1" x14ac:dyDescent="0.25"/>
  <cols>
    <col min="1" max="1" width="11.42578125" bestFit="1" customWidth="1"/>
    <col min="2" max="2" width="31.7109375" customWidth="1"/>
    <col min="3" max="3" width="36.28515625" customWidth="1"/>
    <col min="4" max="4" width="26.7109375" style="1" customWidth="1"/>
    <col min="5" max="5" width="18.7109375" style="1" customWidth="1"/>
    <col min="6" max="6" width="22.7109375" style="1" customWidth="1"/>
    <col min="7" max="8" width="27.7109375" style="1" customWidth="1"/>
    <col min="9" max="9" width="31" style="1" customWidth="1"/>
    <col min="10" max="10" width="20.140625" style="1" customWidth="1"/>
    <col min="11" max="12" width="17.7109375" style="1" customWidth="1"/>
    <col min="13" max="13" width="16.28515625" style="1" customWidth="1"/>
    <col min="14" max="15" width="20.7109375" style="1" customWidth="1"/>
    <col min="16" max="18" width="20.7109375" customWidth="1"/>
    <col min="23" max="23" width="37.5703125" customWidth="1"/>
    <col min="24" max="24" width="51.5703125" customWidth="1"/>
    <col min="25" max="25" width="29.28515625" customWidth="1"/>
  </cols>
  <sheetData>
    <row r="2" spans="1:25" s="121" customFormat="1" ht="30" customHeight="1" x14ac:dyDescent="0.2">
      <c r="A2" s="381" t="s">
        <v>439</v>
      </c>
      <c r="D2" s="122"/>
      <c r="E2" s="122"/>
      <c r="F2" s="122"/>
      <c r="G2" s="122"/>
      <c r="H2" s="122"/>
      <c r="I2" s="122"/>
      <c r="J2" s="122"/>
      <c r="K2" s="122"/>
      <c r="L2" s="122"/>
      <c r="M2" s="122"/>
      <c r="N2" s="122"/>
      <c r="O2" s="122"/>
    </row>
    <row r="3" spans="1:25" s="123" customFormat="1" ht="30" customHeight="1" x14ac:dyDescent="0.2">
      <c r="D3" s="124"/>
      <c r="E3" s="124"/>
      <c r="F3" s="124"/>
      <c r="G3" s="124"/>
      <c r="H3" s="124"/>
      <c r="I3" s="124"/>
      <c r="J3" s="124"/>
      <c r="K3" s="124"/>
      <c r="L3" s="124"/>
      <c r="M3" s="124"/>
      <c r="N3" s="124"/>
      <c r="O3" s="124"/>
    </row>
    <row r="4" spans="1:25" s="125" customFormat="1" ht="30" customHeight="1" x14ac:dyDescent="0.2">
      <c r="B4" s="126" t="s">
        <v>192</v>
      </c>
      <c r="D4" s="127"/>
      <c r="E4" s="127"/>
      <c r="F4" s="127"/>
      <c r="G4" s="127"/>
      <c r="H4" s="127"/>
      <c r="I4" s="127"/>
      <c r="J4" s="127"/>
      <c r="K4" s="127"/>
      <c r="L4" s="127"/>
      <c r="M4" s="127"/>
      <c r="N4" s="127"/>
      <c r="O4" s="127"/>
    </row>
    <row r="5" spans="1:25" s="123" customFormat="1" ht="30" customHeight="1" x14ac:dyDescent="0.2">
      <c r="B5" s="247"/>
      <c r="D5" s="124"/>
      <c r="E5" s="124"/>
      <c r="F5" s="124"/>
      <c r="G5" s="124"/>
      <c r="H5" s="124"/>
      <c r="I5" s="124"/>
      <c r="J5" s="124"/>
      <c r="K5" s="124"/>
      <c r="L5" s="124"/>
      <c r="M5" s="124"/>
      <c r="N5" s="124"/>
      <c r="O5" s="124"/>
    </row>
    <row r="6" spans="1:25" s="123" customFormat="1" ht="30" customHeight="1" x14ac:dyDescent="0.2">
      <c r="B6" s="247"/>
      <c r="D6" s="124"/>
      <c r="E6" s="124"/>
      <c r="F6" s="124"/>
      <c r="G6" s="124" t="s">
        <v>284</v>
      </c>
      <c r="H6" s="124"/>
      <c r="I6" s="124"/>
      <c r="J6" s="124"/>
      <c r="K6" s="124"/>
      <c r="L6" s="124"/>
      <c r="M6" s="124"/>
      <c r="N6" s="124"/>
      <c r="O6" s="124"/>
    </row>
    <row r="7" spans="1:25" s="123" customFormat="1" ht="30" customHeight="1" x14ac:dyDescent="0.2">
      <c r="B7" s="247"/>
      <c r="D7" s="124"/>
      <c r="E7" s="124"/>
      <c r="F7" s="124"/>
      <c r="G7" s="124"/>
      <c r="H7" s="124"/>
      <c r="I7" s="124"/>
      <c r="J7" s="124"/>
      <c r="K7" s="124"/>
      <c r="L7" s="124"/>
      <c r="M7" s="124"/>
      <c r="N7" s="124"/>
      <c r="O7" s="124"/>
    </row>
    <row r="8" spans="1:25" s="123" customFormat="1" ht="30" customHeight="1" x14ac:dyDescent="0.2">
      <c r="B8" s="112" t="s">
        <v>114</v>
      </c>
      <c r="C8" s="111" t="s">
        <v>86</v>
      </c>
      <c r="D8" s="108" t="s">
        <v>126</v>
      </c>
      <c r="E8" s="124"/>
      <c r="F8" s="124"/>
      <c r="G8" s="124"/>
      <c r="H8" s="124"/>
      <c r="I8" s="124"/>
      <c r="J8" s="124"/>
      <c r="K8" s="124"/>
      <c r="L8" s="124"/>
      <c r="M8" s="124"/>
      <c r="N8" s="124"/>
      <c r="O8" s="124"/>
    </row>
    <row r="9" spans="1:25" s="128" customFormat="1" ht="40.15" customHeight="1" x14ac:dyDescent="0.2">
      <c r="B9" s="107" t="s">
        <v>190</v>
      </c>
      <c r="C9" s="109" t="str">
        <f>IFERROR(D9+2,"0")</f>
        <v>0</v>
      </c>
      <c r="D9" s="110" t="str">
        <f>'ID_Identificação do projeto'!C14</f>
        <v>AAAA</v>
      </c>
      <c r="E9" s="101"/>
      <c r="G9" s="621" t="s">
        <v>114</v>
      </c>
      <c r="H9" s="621" t="s">
        <v>950</v>
      </c>
      <c r="I9" s="621" t="s">
        <v>283</v>
      </c>
      <c r="J9" s="621" t="s">
        <v>872</v>
      </c>
      <c r="K9" s="610"/>
      <c r="L9" s="622" t="s">
        <v>957</v>
      </c>
      <c r="M9" s="621" t="s">
        <v>958</v>
      </c>
      <c r="N9" s="610"/>
      <c r="O9" s="622" t="s">
        <v>886</v>
      </c>
      <c r="P9" s="129"/>
      <c r="Q9" s="129"/>
      <c r="R9" s="129"/>
      <c r="S9" s="129"/>
      <c r="T9" s="129"/>
      <c r="U9" s="129" t="s">
        <v>200</v>
      </c>
      <c r="V9" s="129"/>
      <c r="W9" s="117" t="s">
        <v>20</v>
      </c>
      <c r="X9" s="117" t="s">
        <v>201</v>
      </c>
      <c r="Y9" s="117" t="s">
        <v>251</v>
      </c>
    </row>
    <row r="10" spans="1:25" s="128" customFormat="1" ht="40.15" customHeight="1" x14ac:dyDescent="0.2">
      <c r="B10" s="107" t="s">
        <v>293</v>
      </c>
      <c r="C10" s="109" t="str">
        <f>'ID_Identificação do projeto'!$C$16</f>
        <v>Selecionar uma opção</v>
      </c>
      <c r="D10" s="110"/>
      <c r="E10" s="101"/>
      <c r="G10" s="623" t="s">
        <v>612</v>
      </c>
      <c r="H10" s="624">
        <f>D18</f>
        <v>0</v>
      </c>
      <c r="I10" s="625">
        <f>C12</f>
        <v>0</v>
      </c>
      <c r="J10" s="625">
        <v>0</v>
      </c>
      <c r="K10" s="611"/>
      <c r="L10" s="625">
        <f>IFERROR((H10*I10)/1000,"")</f>
        <v>0</v>
      </c>
      <c r="M10" s="626">
        <v>0</v>
      </c>
      <c r="N10" s="614"/>
      <c r="O10" s="627">
        <f>IFERROR(L10+((H10*M10)/1000),"")</f>
        <v>0</v>
      </c>
      <c r="P10" s="129"/>
      <c r="Q10" s="129"/>
      <c r="R10" s="129"/>
      <c r="S10" s="129"/>
      <c r="T10" s="129"/>
      <c r="U10" s="129"/>
      <c r="V10" s="129"/>
      <c r="W10" s="118">
        <v>2025</v>
      </c>
      <c r="X10" s="140">
        <v>165</v>
      </c>
      <c r="Y10" s="106" t="e">
        <f>VLOOKUP(C9,W10:X25,2,FALSE)</f>
        <v>#N/A</v>
      </c>
    </row>
    <row r="11" spans="1:25" s="128" customFormat="1" ht="40.15" customHeight="1" x14ac:dyDescent="0.2">
      <c r="B11" s="259" t="s">
        <v>142</v>
      </c>
      <c r="C11" s="102" t="str">
        <f>'ID_Identificação do projeto'!$C$18</f>
        <v>Selecionar uma opção</v>
      </c>
      <c r="D11" s="106"/>
      <c r="E11" s="101"/>
      <c r="G11" s="628" t="s">
        <v>1224</v>
      </c>
      <c r="H11" s="624">
        <f>IFERROR(D19*D20,"")</f>
        <v>0</v>
      </c>
      <c r="I11" s="625" t="str">
        <f>IFERROR(IF(D13=FAListas!$C$56, C13,"0"),"")</f>
        <v>0</v>
      </c>
      <c r="J11" s="629" t="str">
        <f>IFERROR(IF(D13=FAListas!$C$57,$C$12*'Fatores de Emissão'!F40,"0"),"")</f>
        <v>0</v>
      </c>
      <c r="K11" s="611"/>
      <c r="L11" s="625">
        <f>IFERROR(((H11*I11)+(H11*J11))/1000,"")</f>
        <v>0</v>
      </c>
      <c r="M11" s="626">
        <f>'Fatores de Emissão'!G40</f>
        <v>2.1700000000000004E-2</v>
      </c>
      <c r="N11" s="614"/>
      <c r="O11" s="627">
        <f>IFERROR(L11+((H11*M11)/1000),"")</f>
        <v>0</v>
      </c>
      <c r="P11" s="129"/>
      <c r="Q11" s="129"/>
      <c r="R11" s="129"/>
      <c r="S11" s="129"/>
      <c r="T11" s="129"/>
      <c r="U11" s="129"/>
      <c r="V11" s="129"/>
      <c r="W11" s="118">
        <v>2026</v>
      </c>
      <c r="X11" s="140">
        <v>182</v>
      </c>
    </row>
    <row r="12" spans="1:25" s="128" customFormat="1" ht="40.15" customHeight="1" x14ac:dyDescent="0.2">
      <c r="B12" s="107" t="s">
        <v>319</v>
      </c>
      <c r="C12" s="109">
        <f>'TM4_vias navegáveis interiores'!F21</f>
        <v>0</v>
      </c>
      <c r="D12" s="110"/>
      <c r="E12" s="101"/>
      <c r="F12" s="101"/>
      <c r="G12" s="628" t="s">
        <v>949</v>
      </c>
      <c r="H12" s="624">
        <f>IFERROR(D21*D22,"")</f>
        <v>0</v>
      </c>
      <c r="I12" s="625">
        <f>IFERROR(C14,"")</f>
        <v>0</v>
      </c>
      <c r="J12" s="629">
        <v>0</v>
      </c>
      <c r="K12" s="611"/>
      <c r="L12" s="625">
        <f>IFERROR(((H12*I12)+(H12*J12))/1000,"")</f>
        <v>0</v>
      </c>
      <c r="M12" s="626">
        <f>C15</f>
        <v>0</v>
      </c>
      <c r="N12" s="614"/>
      <c r="O12" s="627">
        <f>IFERROR(L12+((H12*M12)/1000),"")</f>
        <v>0</v>
      </c>
      <c r="P12" s="129"/>
      <c r="Q12" s="129"/>
      <c r="R12" s="129"/>
      <c r="S12" s="129"/>
      <c r="T12" s="129"/>
      <c r="U12" s="129"/>
      <c r="V12" s="129"/>
      <c r="W12" s="118">
        <v>2027</v>
      </c>
      <c r="X12" s="140">
        <v>199</v>
      </c>
    </row>
    <row r="13" spans="1:25" s="128" customFormat="1" ht="40.15" customHeight="1" x14ac:dyDescent="0.2">
      <c r="B13" s="382" t="str">
        <f>'TM4_vias navegáveis interiores'!C23</f>
        <v xml:space="preserve">Fator de emissão de GEE - navios/embarcações </v>
      </c>
      <c r="C13" s="383">
        <f>'TM4_vias navegáveis interiores'!F23</f>
        <v>0</v>
      </c>
      <c r="D13" s="383" t="str">
        <f>'TM4_vias navegáveis interiores'!E23</f>
        <v>Selecionar uma opção</v>
      </c>
      <c r="E13" s="101"/>
      <c r="F13" s="101"/>
      <c r="G13" s="609"/>
      <c r="H13" s="609"/>
      <c r="I13" s="611"/>
      <c r="J13" s="612"/>
      <c r="K13" s="611"/>
      <c r="L13" s="625"/>
      <c r="M13" s="615"/>
      <c r="N13" s="614"/>
      <c r="O13" s="625"/>
      <c r="P13" s="129"/>
      <c r="Q13" s="129"/>
      <c r="R13" s="129"/>
      <c r="S13" s="129"/>
      <c r="T13" s="129"/>
      <c r="U13" s="129"/>
      <c r="V13" s="129"/>
      <c r="W13" s="118">
        <v>2028</v>
      </c>
      <c r="X13" s="140">
        <v>216</v>
      </c>
    </row>
    <row r="14" spans="1:25" s="128" customFormat="1" ht="40.15" customHeight="1" x14ac:dyDescent="0.2">
      <c r="B14" s="387" t="str">
        <f>'TM4_vias navegáveis interiores'!C25</f>
        <v xml:space="preserve">Fator de emissão de GEE - outros navios/ embarcações </v>
      </c>
      <c r="C14" s="102">
        <f>'TM4_vias navegáveis interiores'!F25</f>
        <v>0</v>
      </c>
      <c r="D14" s="102" t="str">
        <f>'TM4_vias navegáveis interiores'!G25</f>
        <v>Completar para o fator de emissão do utilizador</v>
      </c>
      <c r="E14" s="101"/>
      <c r="F14" s="346"/>
      <c r="G14" s="609"/>
      <c r="H14" s="609"/>
      <c r="I14" s="614"/>
      <c r="J14" s="771"/>
      <c r="K14" s="613"/>
      <c r="L14" s="766">
        <f>IFERROR(SUM(L10:L12),"")</f>
        <v>0</v>
      </c>
      <c r="M14" s="767"/>
      <c r="N14" s="613"/>
      <c r="O14" s="766">
        <f>IFERROR(SUM(O10:O12),"")</f>
        <v>0</v>
      </c>
      <c r="P14" s="166" t="s">
        <v>249</v>
      </c>
      <c r="R14" s="129"/>
      <c r="S14" s="129"/>
      <c r="T14" s="129"/>
      <c r="U14" s="129"/>
      <c r="V14" s="129"/>
      <c r="W14" s="118">
        <v>2029</v>
      </c>
      <c r="X14" s="140">
        <v>233</v>
      </c>
    </row>
    <row r="15" spans="1:25" s="128" customFormat="1" ht="40.15" customHeight="1" x14ac:dyDescent="0.2">
      <c r="B15" s="387" t="str">
        <f>'TM4_vias navegáveis interiores'!C26</f>
        <v xml:space="preserve">Fator de emissão de GEE - produção do transporte </v>
      </c>
      <c r="C15" s="102">
        <f>'TM4_vias navegáveis interiores'!F26</f>
        <v>0</v>
      </c>
      <c r="D15" s="102" t="str">
        <f>'TM4_vias navegáveis interiores'!G26</f>
        <v>Completar para o fator de emissão do utilizador</v>
      </c>
      <c r="E15" s="101"/>
      <c r="F15" s="346"/>
      <c r="G15" s="102"/>
      <c r="H15" s="102"/>
      <c r="I15" s="347"/>
      <c r="J15" s="341"/>
      <c r="K15" s="342"/>
      <c r="L15" s="342" t="s">
        <v>5</v>
      </c>
      <c r="M15" s="343"/>
      <c r="N15" s="342"/>
      <c r="O15" s="342"/>
      <c r="P15" s="166"/>
      <c r="R15" s="129"/>
      <c r="S15" s="129"/>
      <c r="T15" s="129"/>
      <c r="U15" s="129"/>
      <c r="V15" s="129"/>
      <c r="W15" s="118">
        <v>2030</v>
      </c>
      <c r="X15" s="140">
        <v>250</v>
      </c>
    </row>
    <row r="16" spans="1:25" s="128" customFormat="1" ht="30" customHeight="1" x14ac:dyDescent="0.2">
      <c r="B16" s="387"/>
      <c r="C16" s="102"/>
      <c r="D16" s="102"/>
      <c r="E16" s="101"/>
      <c r="F16" s="160"/>
      <c r="G16" s="102"/>
      <c r="H16" s="102"/>
      <c r="I16" s="162"/>
      <c r="J16" s="162"/>
      <c r="K16" s="162"/>
      <c r="L16" s="162"/>
      <c r="M16" s="163"/>
      <c r="N16" s="347"/>
      <c r="O16" s="347"/>
      <c r="P16" s="129"/>
      <c r="Q16" s="129"/>
      <c r="R16" s="129"/>
      <c r="S16" s="129"/>
      <c r="T16" s="129"/>
      <c r="U16" s="129"/>
      <c r="V16" s="129"/>
      <c r="W16" s="118">
        <v>2031</v>
      </c>
      <c r="X16" s="140">
        <v>278</v>
      </c>
    </row>
    <row r="17" spans="1:24" s="128" customFormat="1" ht="30" customHeight="1" x14ac:dyDescent="0.2">
      <c r="B17" s="621" t="s">
        <v>114</v>
      </c>
      <c r="C17" s="608"/>
      <c r="D17" s="621" t="s">
        <v>86</v>
      </c>
      <c r="E17" s="101"/>
      <c r="F17" s="160"/>
      <c r="G17" s="102"/>
      <c r="H17" s="102"/>
      <c r="I17" s="161"/>
      <c r="J17" s="341"/>
      <c r="K17" s="342"/>
      <c r="L17" s="342"/>
      <c r="M17" s="343"/>
      <c r="N17" s="342"/>
      <c r="O17" s="342"/>
      <c r="P17" s="166"/>
      <c r="Q17" s="129"/>
      <c r="R17" s="129"/>
      <c r="S17" s="129"/>
      <c r="T17" s="129"/>
      <c r="U17" s="129"/>
      <c r="V17" s="129"/>
      <c r="W17" s="118">
        <v>2032</v>
      </c>
      <c r="X17" s="140">
        <v>306</v>
      </c>
    </row>
    <row r="18" spans="1:24" s="128" customFormat="1" ht="30" customHeight="1" x14ac:dyDescent="0.2">
      <c r="B18" s="768" t="str">
        <f>'TM4_vias navegáveis interiores'!C39</f>
        <v>Consumo anual de eletricidade num ano típico de funcionamento</v>
      </c>
      <c r="C18" s="770"/>
      <c r="D18" s="769">
        <f>'TM4_vias navegáveis interiores'!E39</f>
        <v>0</v>
      </c>
      <c r="E18" s="101"/>
      <c r="F18" s="160"/>
      <c r="G18" s="102"/>
      <c r="H18" s="102"/>
      <c r="I18" s="161"/>
      <c r="J18" s="341"/>
      <c r="K18" s="342"/>
      <c r="L18" s="342"/>
      <c r="M18" s="343"/>
      <c r="N18" s="342"/>
      <c r="O18" s="342"/>
      <c r="P18" s="166"/>
      <c r="Q18" s="129"/>
      <c r="R18" s="129"/>
      <c r="S18" s="129"/>
      <c r="T18" s="129"/>
      <c r="U18" s="129"/>
      <c r="V18" s="129"/>
      <c r="W18" s="118">
        <v>2033</v>
      </c>
      <c r="X18" s="140">
        <v>334</v>
      </c>
    </row>
    <row r="19" spans="1:24" s="128" customFormat="1" ht="60" customHeight="1" x14ac:dyDescent="0.2">
      <c r="A19" s="102" t="s">
        <v>341</v>
      </c>
      <c r="B19" s="768" t="str">
        <f>'TM4_vias navegáveis interiores'!C41</f>
        <v xml:space="preserve">Nº médio de novos passageiros gerados pelo projeto, num ano típico de funcionamento </v>
      </c>
      <c r="C19" s="609"/>
      <c r="D19" s="624">
        <f>'TM4_vias navegáveis interiores'!E41</f>
        <v>0</v>
      </c>
      <c r="E19" s="101"/>
      <c r="F19" s="160"/>
      <c r="G19" s="102"/>
      <c r="H19" s="102"/>
      <c r="I19" s="161"/>
      <c r="J19" s="162"/>
      <c r="K19" s="162"/>
      <c r="L19" s="162"/>
      <c r="M19" s="163"/>
      <c r="N19" s="162"/>
      <c r="O19" s="106"/>
      <c r="P19" s="129"/>
      <c r="Q19" s="129"/>
      <c r="R19" s="129"/>
      <c r="S19" s="129"/>
      <c r="T19" s="129"/>
      <c r="U19" s="129"/>
      <c r="V19" s="129"/>
      <c r="W19" s="118">
        <v>2034</v>
      </c>
      <c r="X19" s="140">
        <v>362</v>
      </c>
    </row>
    <row r="20" spans="1:24" s="128" customFormat="1" ht="60" customHeight="1" x14ac:dyDescent="0.2">
      <c r="A20" s="102" t="s">
        <v>341</v>
      </c>
      <c r="B20" s="768" t="str">
        <f>'TM4_vias navegáveis interiores'!C45</f>
        <v xml:space="preserve">Nº navios/embarcações * Nº de km percorridos por um navio/embarcação, num ano típico de funcionamento  </v>
      </c>
      <c r="C20" s="609"/>
      <c r="D20" s="624">
        <f>'TM4_vias navegáveis interiores'!E42</f>
        <v>0</v>
      </c>
      <c r="E20" s="101"/>
      <c r="F20" s="160"/>
      <c r="G20" s="102"/>
      <c r="H20" s="102"/>
      <c r="I20" s="161"/>
      <c r="J20" s="102"/>
      <c r="K20" s="102"/>
      <c r="L20" s="102"/>
      <c r="M20" s="102"/>
      <c r="N20" s="102"/>
      <c r="O20" s="106"/>
      <c r="P20" s="129"/>
      <c r="Q20" s="129"/>
      <c r="R20" s="129"/>
      <c r="S20" s="129"/>
      <c r="T20" s="129"/>
      <c r="U20" s="129"/>
      <c r="V20" s="129"/>
      <c r="W20" s="118">
        <v>2035</v>
      </c>
      <c r="X20" s="140">
        <v>390</v>
      </c>
    </row>
    <row r="21" spans="1:24" s="128" customFormat="1" ht="60" customHeight="1" x14ac:dyDescent="0.2">
      <c r="A21" s="102" t="s">
        <v>949</v>
      </c>
      <c r="B21" s="768" t="str">
        <f>'TM4_vias navegáveis interiores'!C44</f>
        <v xml:space="preserve">Nº médio de novos passageiros gerados pelo projeto, num ano típico de funcionamento </v>
      </c>
      <c r="C21" s="609"/>
      <c r="D21" s="624">
        <f>'TM4_vias navegáveis interiores'!E44</f>
        <v>0</v>
      </c>
      <c r="E21" s="101"/>
      <c r="F21" s="160"/>
      <c r="G21" s="102"/>
      <c r="H21" s="102"/>
      <c r="I21" s="161"/>
      <c r="J21" s="102"/>
      <c r="K21" s="102"/>
      <c r="L21" s="102"/>
      <c r="M21" s="102"/>
      <c r="N21" s="102"/>
      <c r="O21" s="106"/>
      <c r="P21" s="129"/>
      <c r="Q21" s="129"/>
      <c r="R21" s="129"/>
      <c r="S21" s="129"/>
      <c r="T21" s="129"/>
      <c r="U21" s="129"/>
      <c r="V21" s="129"/>
      <c r="W21" s="118">
        <v>2036</v>
      </c>
      <c r="X21" s="140">
        <v>417</v>
      </c>
    </row>
    <row r="22" spans="1:24" s="128" customFormat="1" ht="60" customHeight="1" x14ac:dyDescent="0.2">
      <c r="A22" s="102" t="s">
        <v>949</v>
      </c>
      <c r="B22" s="768" t="str">
        <f>'TM4_vias navegáveis interiores'!C45</f>
        <v xml:space="preserve">Nº navios/embarcações * Nº de km percorridos por um navio/embarcação, num ano típico de funcionamento  </v>
      </c>
      <c r="C22" s="609"/>
      <c r="D22" s="624">
        <f>'TM4_vias navegáveis interiores'!E45</f>
        <v>0</v>
      </c>
      <c r="E22" s="101"/>
      <c r="F22" s="160"/>
      <c r="G22" s="102"/>
      <c r="H22" s="102"/>
      <c r="I22" s="161"/>
      <c r="J22" s="102"/>
      <c r="K22" s="102"/>
      <c r="L22" s="102"/>
      <c r="M22" s="102"/>
      <c r="N22" s="102"/>
      <c r="O22" s="106"/>
      <c r="P22" s="129"/>
      <c r="Q22" s="129"/>
      <c r="R22" s="129"/>
      <c r="S22" s="129"/>
      <c r="T22" s="129"/>
      <c r="U22" s="129"/>
      <c r="V22" s="129"/>
      <c r="W22" s="118">
        <v>2037</v>
      </c>
      <c r="X22" s="140">
        <v>444</v>
      </c>
    </row>
    <row r="23" spans="1:24" s="123" customFormat="1" ht="30" customHeight="1" x14ac:dyDescent="0.2">
      <c r="D23" s="124"/>
      <c r="E23" s="124"/>
      <c r="F23" s="124"/>
      <c r="G23" s="124"/>
      <c r="H23" s="124"/>
      <c r="I23" s="124"/>
      <c r="J23" s="124"/>
      <c r="K23" s="124"/>
      <c r="L23" s="124"/>
      <c r="M23" s="124"/>
      <c r="N23" s="124"/>
      <c r="O23" s="124"/>
      <c r="W23" s="118">
        <v>2038</v>
      </c>
      <c r="X23" s="140">
        <v>471</v>
      </c>
    </row>
    <row r="24" spans="1:24" s="121" customFormat="1" ht="30" customHeight="1" x14ac:dyDescent="0.2">
      <c r="B24" s="120" t="s">
        <v>959</v>
      </c>
      <c r="D24" s="122"/>
      <c r="E24" s="122"/>
      <c r="F24" s="122"/>
      <c r="G24" s="122"/>
      <c r="H24" s="122"/>
      <c r="I24" s="122"/>
      <c r="J24" s="122"/>
      <c r="K24" s="122"/>
      <c r="L24" s="122"/>
      <c r="M24" s="122"/>
      <c r="N24" s="122"/>
      <c r="O24" s="122"/>
      <c r="W24" s="118">
        <v>2039</v>
      </c>
      <c r="X24" s="140">
        <v>498</v>
      </c>
    </row>
    <row r="25" spans="1:24" s="175" customFormat="1" ht="30" customHeight="1" x14ac:dyDescent="0.2">
      <c r="B25" s="176"/>
      <c r="D25" s="177"/>
      <c r="E25" s="177"/>
      <c r="F25" s="177"/>
      <c r="G25" s="177"/>
      <c r="H25" s="177"/>
      <c r="I25" s="177"/>
      <c r="J25" s="177"/>
      <c r="K25" s="177"/>
      <c r="L25" s="177"/>
      <c r="M25" s="177"/>
      <c r="N25" s="177"/>
      <c r="O25" s="177"/>
      <c r="W25" s="118">
        <v>2040</v>
      </c>
      <c r="X25" s="140">
        <v>325</v>
      </c>
    </row>
    <row r="26" spans="1:24" s="175" customFormat="1" ht="30" customHeight="1" x14ac:dyDescent="0.2">
      <c r="B26" s="176" t="s">
        <v>252</v>
      </c>
      <c r="D26" s="177"/>
      <c r="E26" s="177"/>
      <c r="F26" s="177"/>
      <c r="G26" s="177"/>
      <c r="H26" s="177"/>
      <c r="I26" s="177"/>
      <c r="J26" s="177"/>
      <c r="K26" s="177"/>
      <c r="L26" s="177"/>
      <c r="M26" s="177"/>
      <c r="N26" s="177"/>
      <c r="O26" s="177"/>
    </row>
    <row r="27" spans="1:24" s="175" customFormat="1" ht="30" customHeight="1" x14ac:dyDescent="0.2">
      <c r="B27" s="176"/>
      <c r="D27" s="177"/>
      <c r="E27" s="177"/>
      <c r="F27" s="177"/>
      <c r="G27" s="177"/>
      <c r="H27" s="177"/>
      <c r="I27" s="177"/>
      <c r="J27" s="177"/>
      <c r="K27" s="177"/>
      <c r="L27" s="177"/>
      <c r="M27" s="177"/>
      <c r="N27" s="177"/>
      <c r="O27" s="177"/>
    </row>
    <row r="28" spans="1:24" s="175" customFormat="1" ht="30" customHeight="1" x14ac:dyDescent="0.2">
      <c r="B28" s="120" t="s">
        <v>285</v>
      </c>
      <c r="C28" s="179" t="s">
        <v>77</v>
      </c>
      <c r="D28" s="122" t="s">
        <v>909</v>
      </c>
      <c r="E28" s="122" t="s">
        <v>256</v>
      </c>
      <c r="F28" s="177"/>
      <c r="G28" s="122" t="s">
        <v>286</v>
      </c>
      <c r="H28" s="122" t="s">
        <v>77</v>
      </c>
      <c r="I28" s="122" t="s">
        <v>909</v>
      </c>
      <c r="J28" s="122" t="s">
        <v>256</v>
      </c>
      <c r="K28" s="177"/>
      <c r="L28" s="177"/>
      <c r="M28" s="177"/>
      <c r="N28" s="177"/>
      <c r="O28" s="177"/>
    </row>
    <row r="29" spans="1:24" s="175" customFormat="1" ht="30" customHeight="1" x14ac:dyDescent="0.2">
      <c r="B29" s="176" t="s">
        <v>125</v>
      </c>
      <c r="C29" s="178">
        <v>0.55000000000000004</v>
      </c>
      <c r="D29" s="180">
        <f>'Fatores de Emissão'!E99</f>
        <v>0.12029271250000002</v>
      </c>
      <c r="E29" s="181">
        <f t="shared" ref="E29:E34" si="0">C29*D29</f>
        <v>6.6160991875000019E-2</v>
      </c>
      <c r="F29" s="177"/>
      <c r="G29" s="247" t="s">
        <v>125</v>
      </c>
      <c r="H29" s="388">
        <v>0.84</v>
      </c>
      <c r="I29" s="124">
        <f>'Fatores de Emissão'!E63</f>
        <v>8.29704311418685E-2</v>
      </c>
      <c r="J29" s="389">
        <f>H29*I29</f>
        <v>6.9695162159169544E-2</v>
      </c>
      <c r="K29" s="181"/>
      <c r="L29" s="177"/>
      <c r="M29" s="177"/>
      <c r="N29" s="177"/>
      <c r="O29" s="177"/>
    </row>
    <row r="30" spans="1:24" s="175" customFormat="1" ht="30" customHeight="1" x14ac:dyDescent="0.2">
      <c r="B30" s="176" t="s">
        <v>227</v>
      </c>
      <c r="C30" s="178">
        <v>0.38</v>
      </c>
      <c r="D30" s="180">
        <f>'Fatores de Emissão'!E93</f>
        <v>0.12633856874999999</v>
      </c>
      <c r="E30" s="181">
        <f t="shared" si="0"/>
        <v>4.8008656125E-2</v>
      </c>
      <c r="F30" s="177"/>
      <c r="G30" s="247" t="s">
        <v>89</v>
      </c>
      <c r="H30" s="388">
        <v>0.16</v>
      </c>
      <c r="I30" s="124">
        <f>'Fatores de Emissão'!E68</f>
        <v>9.3486387543252586E-2</v>
      </c>
      <c r="J30" s="389">
        <f>H30*I30</f>
        <v>1.4957822006920415E-2</v>
      </c>
      <c r="K30" s="177"/>
      <c r="L30" s="177"/>
      <c r="M30" s="177"/>
      <c r="N30" s="177"/>
      <c r="O30" s="177"/>
    </row>
    <row r="31" spans="1:24" s="175" customFormat="1" ht="30" customHeight="1" x14ac:dyDescent="0.2">
      <c r="B31" s="176" t="s">
        <v>230</v>
      </c>
      <c r="C31" s="178">
        <v>0.01</v>
      </c>
      <c r="D31" s="180">
        <f>'Fatores de Emissão'!E102</f>
        <v>0.119959</v>
      </c>
      <c r="E31" s="181">
        <f t="shared" si="0"/>
        <v>1.1995899999999999E-3</v>
      </c>
      <c r="F31" s="177"/>
      <c r="G31" s="781" t="s">
        <v>246</v>
      </c>
      <c r="H31" s="782"/>
      <c r="I31" s="783"/>
      <c r="J31" s="784">
        <f>SUM(J25:J30)</f>
        <v>8.4652984166089962E-2</v>
      </c>
      <c r="K31" s="177"/>
      <c r="L31" s="177"/>
      <c r="M31" s="177"/>
      <c r="N31" s="177"/>
      <c r="O31" s="177"/>
    </row>
    <row r="32" spans="1:24" s="175" customFormat="1" ht="30" customHeight="1" x14ac:dyDescent="0.2">
      <c r="B32" s="176" t="s">
        <v>255</v>
      </c>
      <c r="C32" s="178">
        <v>0.02</v>
      </c>
      <c r="D32" s="180">
        <f>'Fatores de Emissão'!E9</f>
        <v>1.3839724576271188E-2</v>
      </c>
      <c r="E32" s="181">
        <f t="shared" si="0"/>
        <v>2.7679449152542379E-4</v>
      </c>
      <c r="F32" s="177"/>
      <c r="G32" s="177"/>
      <c r="H32" s="177"/>
      <c r="I32" s="177"/>
      <c r="J32" s="177"/>
      <c r="K32" s="177"/>
      <c r="L32" s="177"/>
      <c r="M32" s="177"/>
      <c r="N32" s="177"/>
      <c r="O32" s="177"/>
    </row>
    <row r="33" spans="1:18" s="175" customFormat="1" ht="30" customHeight="1" x14ac:dyDescent="0.2">
      <c r="B33" s="176" t="s">
        <v>254</v>
      </c>
      <c r="C33" s="178">
        <v>0.02</v>
      </c>
      <c r="D33" s="180">
        <f>'Fatores de Emissão'!E96</f>
        <v>8.0156249999999998E-2</v>
      </c>
      <c r="E33" s="181">
        <f t="shared" si="0"/>
        <v>1.6031249999999999E-3</v>
      </c>
      <c r="F33" s="177"/>
      <c r="G33" s="177"/>
      <c r="H33" s="177"/>
      <c r="I33" s="177"/>
      <c r="J33" s="177"/>
      <c r="K33" s="177"/>
      <c r="L33" s="177"/>
      <c r="M33" s="177"/>
      <c r="N33" s="177"/>
      <c r="O33" s="177"/>
    </row>
    <row r="34" spans="1:18" s="175" customFormat="1" ht="30" customHeight="1" x14ac:dyDescent="0.2">
      <c r="B34" s="176" t="s">
        <v>260</v>
      </c>
      <c r="C34" s="178">
        <v>0.02</v>
      </c>
      <c r="D34" s="180">
        <f>'Fatores de Emissão'!E10</f>
        <v>4.4243290960451981E-3</v>
      </c>
      <c r="E34" s="181">
        <f t="shared" si="0"/>
        <v>8.8486581920903967E-5</v>
      </c>
      <c r="F34" s="177"/>
      <c r="G34" s="188" t="s">
        <v>263</v>
      </c>
      <c r="H34" s="186" t="s">
        <v>9</v>
      </c>
      <c r="I34" s="177"/>
      <c r="J34" s="177"/>
      <c r="K34" s="177"/>
      <c r="L34" s="177"/>
      <c r="M34" s="177"/>
      <c r="N34" s="177"/>
      <c r="O34" s="177"/>
    </row>
    <row r="35" spans="1:18" s="175" customFormat="1" ht="30" customHeight="1" x14ac:dyDescent="0.2">
      <c r="B35" s="182" t="s">
        <v>246</v>
      </c>
      <c r="C35" s="183"/>
      <c r="D35" s="184"/>
      <c r="E35" s="185">
        <f>SUM(E29:E34)</f>
        <v>0.11733764407344634</v>
      </c>
      <c r="F35" s="177"/>
      <c r="G35" s="204" t="s">
        <v>205</v>
      </c>
      <c r="H35" s="205" t="e">
        <f>VLOOKUP($C$10,FAListas!$C$20:$D$28,2,FALSE)</f>
        <v>#N/A</v>
      </c>
      <c r="I35" s="177"/>
      <c r="J35" s="177"/>
      <c r="K35" s="177"/>
      <c r="L35" s="177"/>
      <c r="M35" s="177"/>
      <c r="N35" s="177"/>
      <c r="O35" s="177"/>
    </row>
    <row r="36" spans="1:18" s="175" customFormat="1" ht="30" customHeight="1" x14ac:dyDescent="0.2">
      <c r="D36" s="177"/>
      <c r="E36" s="177"/>
      <c r="F36" s="177"/>
      <c r="G36" s="204"/>
      <c r="H36" s="205"/>
      <c r="I36" s="177"/>
      <c r="J36" s="177"/>
      <c r="K36" s="177"/>
      <c r="L36" s="177"/>
      <c r="M36" s="177"/>
      <c r="N36" s="177"/>
      <c r="O36" s="177"/>
    </row>
    <row r="37" spans="1:18" s="175" customFormat="1" ht="30" customHeight="1" x14ac:dyDescent="0.2">
      <c r="D37" s="177"/>
      <c r="E37" s="177"/>
      <c r="F37" s="177"/>
      <c r="G37" s="187" t="s">
        <v>154</v>
      </c>
      <c r="H37" s="177">
        <f>'Fatores de Emissão'!E47</f>
        <v>8.9999999999999993E-3</v>
      </c>
      <c r="I37" s="177"/>
      <c r="J37" s="177"/>
      <c r="K37" s="177"/>
      <c r="L37" s="177"/>
      <c r="M37" s="177"/>
      <c r="N37" s="177"/>
      <c r="O37" s="177"/>
    </row>
    <row r="38" spans="1:18" s="175" customFormat="1" ht="30" customHeight="1" x14ac:dyDescent="0.2">
      <c r="D38" s="177"/>
      <c r="E38" s="177"/>
      <c r="F38" s="177"/>
      <c r="G38" s="187" t="s">
        <v>961</v>
      </c>
      <c r="H38" s="177">
        <v>0</v>
      </c>
      <c r="I38" s="177"/>
      <c r="J38" s="177"/>
      <c r="K38" s="177"/>
      <c r="L38" s="177"/>
      <c r="M38" s="177"/>
      <c r="N38" s="177"/>
      <c r="O38" s="177"/>
    </row>
    <row r="39" spans="1:18" s="175" customFormat="1" ht="30" customHeight="1" x14ac:dyDescent="0.2">
      <c r="D39" s="177"/>
      <c r="E39" s="177"/>
      <c r="F39" s="177"/>
      <c r="G39" s="187"/>
      <c r="H39" s="177"/>
      <c r="I39" s="177"/>
      <c r="J39" s="177"/>
      <c r="K39" s="177"/>
      <c r="L39" s="177"/>
      <c r="M39" s="177"/>
      <c r="N39" s="177"/>
      <c r="O39" s="177"/>
    </row>
    <row r="40" spans="1:18" s="175" customFormat="1" ht="30" customHeight="1" x14ac:dyDescent="0.2">
      <c r="D40" s="177"/>
      <c r="E40" s="177"/>
      <c r="F40" s="177"/>
      <c r="G40" s="187"/>
      <c r="H40" s="177"/>
      <c r="I40" s="177"/>
      <c r="J40" s="177"/>
      <c r="K40" s="177"/>
      <c r="L40" s="177"/>
      <c r="M40" s="177"/>
      <c r="N40" s="177"/>
      <c r="O40" s="177"/>
    </row>
    <row r="41" spans="1:18" s="121" customFormat="1" ht="30" customHeight="1" x14ac:dyDescent="0.2">
      <c r="B41" s="381" t="s">
        <v>960</v>
      </c>
      <c r="D41" s="122"/>
      <c r="E41" s="122"/>
      <c r="F41" s="122"/>
      <c r="G41" s="122"/>
      <c r="H41" s="122"/>
      <c r="I41" s="122"/>
      <c r="J41" s="122"/>
      <c r="K41" s="122"/>
      <c r="L41" s="122"/>
      <c r="M41" s="122"/>
      <c r="N41" s="122"/>
      <c r="O41" s="122"/>
    </row>
    <row r="42" spans="1:18" s="123" customFormat="1" ht="30" customHeight="1" x14ac:dyDescent="0.2">
      <c r="D42" s="1538" t="s">
        <v>963</v>
      </c>
      <c r="E42" s="1538"/>
      <c r="F42" s="124"/>
      <c r="G42" s="124"/>
      <c r="H42" s="124"/>
      <c r="N42" s="209"/>
      <c r="O42" s="124"/>
      <c r="P42" s="124"/>
      <c r="Q42" s="124"/>
      <c r="R42" s="124"/>
    </row>
    <row r="43" spans="1:18" s="123" customFormat="1" ht="49.9" customHeight="1" x14ac:dyDescent="0.2">
      <c r="A43" s="348"/>
      <c r="B43" s="775" t="s">
        <v>264</v>
      </c>
      <c r="C43" s="610"/>
      <c r="D43" s="775" t="s">
        <v>341</v>
      </c>
      <c r="E43" s="775" t="s">
        <v>739</v>
      </c>
      <c r="F43" s="101"/>
      <c r="G43" s="101"/>
      <c r="H43" s="101"/>
      <c r="I43" s="101"/>
      <c r="J43" s="101"/>
      <c r="K43" s="101"/>
      <c r="L43" s="101"/>
      <c r="M43" s="101"/>
      <c r="N43" s="101"/>
      <c r="O43" s="101"/>
      <c r="P43" s="101"/>
      <c r="Q43" s="101"/>
      <c r="R43" s="101"/>
    </row>
    <row r="44" spans="1:18" s="123" customFormat="1" ht="30" customHeight="1" x14ac:dyDescent="0.2">
      <c r="A44" s="349"/>
      <c r="B44" s="776" t="s">
        <v>262</v>
      </c>
      <c r="C44" s="777"/>
      <c r="D44" s="778">
        <f>IFERROR('TM4_vias navegáveis interiores'!E61/100,"0")</f>
        <v>0</v>
      </c>
      <c r="E44" s="778">
        <f>IFERROR('TM4_vias navegáveis interiores'!E67/100,"0")</f>
        <v>0</v>
      </c>
      <c r="F44" s="157"/>
      <c r="G44" s="157"/>
      <c r="H44" s="157"/>
      <c r="I44" s="157"/>
      <c r="J44" s="157"/>
      <c r="K44" s="157"/>
      <c r="L44" s="157"/>
      <c r="M44" s="157"/>
      <c r="N44" s="157"/>
      <c r="O44" s="157"/>
      <c r="P44" s="349"/>
      <c r="Q44" s="349"/>
      <c r="R44" s="349"/>
    </row>
    <row r="45" spans="1:18" s="123" customFormat="1" ht="30" customHeight="1" x14ac:dyDescent="0.2">
      <c r="A45" s="349"/>
      <c r="B45" s="776" t="s">
        <v>171</v>
      </c>
      <c r="C45" s="777"/>
      <c r="D45" s="778">
        <f>IFERROR('TM4_vias navegáveis interiores'!E62/100,"0")</f>
        <v>0</v>
      </c>
      <c r="E45" s="778">
        <f>IFERROR('TM4_vias navegáveis interiores'!E68/100,"0")</f>
        <v>0</v>
      </c>
      <c r="F45" s="157"/>
      <c r="G45" s="157"/>
      <c r="H45" s="157"/>
      <c r="I45" s="157"/>
      <c r="J45" s="157"/>
      <c r="K45" s="157"/>
      <c r="L45" s="157"/>
      <c r="M45" s="157"/>
      <c r="N45" s="157"/>
      <c r="O45" s="157"/>
      <c r="P45" s="349"/>
      <c r="Q45" s="349"/>
      <c r="R45" s="349"/>
    </row>
    <row r="46" spans="1:18" s="123" customFormat="1" ht="30" customHeight="1" x14ac:dyDescent="0.2">
      <c r="A46" s="349"/>
      <c r="B46" s="776" t="s">
        <v>154</v>
      </c>
      <c r="C46" s="777"/>
      <c r="D46" s="778">
        <f>IFERROR('TM4_vias navegáveis interiores'!E63/100,"0")</f>
        <v>0</v>
      </c>
      <c r="E46" s="778">
        <f>IFERROR('TM4_vias navegáveis interiores'!E69/100,"0")</f>
        <v>0</v>
      </c>
      <c r="F46" s="157"/>
      <c r="G46" s="157"/>
      <c r="H46" s="157"/>
      <c r="I46" s="157"/>
      <c r="J46" s="392"/>
      <c r="K46" s="157"/>
      <c r="L46" s="157"/>
      <c r="M46" s="157"/>
      <c r="N46" s="157"/>
      <c r="O46" s="157"/>
      <c r="P46" s="349"/>
      <c r="Q46" s="349"/>
      <c r="R46" s="349"/>
    </row>
    <row r="47" spans="1:18" s="123" customFormat="1" ht="30" customHeight="1" x14ac:dyDescent="0.2">
      <c r="A47" s="349"/>
      <c r="B47" s="779" t="s">
        <v>962</v>
      </c>
      <c r="C47" s="780"/>
      <c r="D47" s="778">
        <f>IFERROR('TM4_vias navegáveis interiores'!E64/100,"0")</f>
        <v>0</v>
      </c>
      <c r="E47" s="778">
        <f>IFERROR('TM4_vias navegáveis interiores'!E70/100,"0")</f>
        <v>0</v>
      </c>
      <c r="F47" s="157"/>
      <c r="G47" s="157"/>
      <c r="H47" s="157"/>
      <c r="I47" s="157"/>
      <c r="J47" s="392"/>
      <c r="K47" s="157"/>
      <c r="L47" s="157"/>
      <c r="M47" s="157"/>
      <c r="N47" s="157"/>
      <c r="O47" s="157"/>
      <c r="P47" s="349"/>
      <c r="Q47" s="349"/>
      <c r="R47" s="349"/>
    </row>
    <row r="48" spans="1:18" s="123" customFormat="1" ht="30" customHeight="1" x14ac:dyDescent="0.2">
      <c r="B48" s="772"/>
      <c r="C48" s="773"/>
      <c r="D48" s="774"/>
      <c r="E48" s="157"/>
      <c r="F48" s="157"/>
      <c r="G48" s="157"/>
      <c r="H48" s="157"/>
      <c r="I48" s="141"/>
      <c r="J48" s="141"/>
      <c r="K48" s="141"/>
      <c r="L48" s="141"/>
      <c r="M48" s="141"/>
      <c r="N48" s="124"/>
      <c r="O48" s="124"/>
    </row>
    <row r="49" spans="2:15" s="123" customFormat="1" ht="68.45" customHeight="1" x14ac:dyDescent="0.2">
      <c r="B49" s="171" t="s">
        <v>1228</v>
      </c>
      <c r="C49" s="172"/>
      <c r="D49" s="350" t="s">
        <v>341</v>
      </c>
      <c r="E49" s="775" t="s">
        <v>739</v>
      </c>
      <c r="F49" s="101"/>
      <c r="G49" s="101"/>
      <c r="H49" s="101"/>
      <c r="I49" s="101"/>
      <c r="J49" s="101"/>
      <c r="K49" s="101"/>
      <c r="L49" s="101"/>
      <c r="M49" s="101"/>
      <c r="N49" s="101"/>
      <c r="O49" s="101"/>
    </row>
    <row r="50" spans="2:15" s="123" customFormat="1" ht="30" customHeight="1" x14ac:dyDescent="0.2">
      <c r="B50" s="144" t="s">
        <v>262</v>
      </c>
      <c r="C50" s="146"/>
      <c r="D50" s="252">
        <f>IFERROR($H$11*D44,"0")</f>
        <v>0</v>
      </c>
      <c r="E50" s="252">
        <f>IFERROR($H$12*E44,"0")</f>
        <v>0</v>
      </c>
      <c r="F50" s="141"/>
      <c r="G50" s="141"/>
      <c r="H50" s="141"/>
      <c r="I50" s="141"/>
      <c r="J50" s="141"/>
      <c r="K50" s="141"/>
      <c r="L50" s="141"/>
      <c r="M50" s="141"/>
      <c r="N50" s="141"/>
      <c r="O50" s="141"/>
    </row>
    <row r="51" spans="2:15" s="123" customFormat="1" ht="30" customHeight="1" x14ac:dyDescent="0.2">
      <c r="B51" s="144" t="s">
        <v>171</v>
      </c>
      <c r="C51" s="391"/>
      <c r="D51" s="252">
        <f>IFERROR($H$11*D45,"0")</f>
        <v>0</v>
      </c>
      <c r="E51" s="252">
        <f>IFERROR($H$12*E45,"0")</f>
        <v>0</v>
      </c>
      <c r="F51" s="141"/>
      <c r="G51" s="141"/>
      <c r="H51" s="141"/>
      <c r="I51" s="141"/>
      <c r="J51" s="141"/>
      <c r="K51" s="141"/>
      <c r="L51" s="141"/>
      <c r="M51" s="141"/>
      <c r="N51" s="141"/>
      <c r="O51" s="141"/>
    </row>
    <row r="52" spans="2:15" s="123" customFormat="1" ht="30" customHeight="1" x14ac:dyDescent="0.2">
      <c r="B52" s="144" t="s">
        <v>154</v>
      </c>
      <c r="C52" s="149"/>
      <c r="D52" s="252">
        <f>IFERROR($H$11*D46,"0")</f>
        <v>0</v>
      </c>
      <c r="E52" s="252">
        <f>IFERROR($H$12*E46,"0")</f>
        <v>0</v>
      </c>
      <c r="F52" s="141"/>
      <c r="G52" s="141"/>
      <c r="H52" s="141"/>
      <c r="I52" s="141"/>
      <c r="J52" s="141"/>
      <c r="K52" s="141"/>
      <c r="L52" s="141"/>
      <c r="M52" s="141"/>
      <c r="N52" s="141"/>
      <c r="O52" s="141"/>
    </row>
    <row r="53" spans="2:15" s="123" customFormat="1" ht="30" customHeight="1" x14ac:dyDescent="0.2">
      <c r="B53" s="144" t="s">
        <v>962</v>
      </c>
      <c r="C53" s="149"/>
      <c r="D53" s="252">
        <f>IFERROR($H$11*D47,"0")</f>
        <v>0</v>
      </c>
      <c r="E53" s="252">
        <f>IFERROR($H$12*E47,"0")</f>
        <v>0</v>
      </c>
      <c r="F53" s="141"/>
      <c r="G53" s="141"/>
      <c r="H53" s="141"/>
      <c r="I53" s="141"/>
      <c r="J53" s="141"/>
      <c r="K53" s="141"/>
      <c r="L53" s="141"/>
      <c r="M53" s="141"/>
      <c r="N53" s="141"/>
      <c r="O53" s="141"/>
    </row>
    <row r="54" spans="2:15" s="123" customFormat="1" ht="30" customHeight="1" x14ac:dyDescent="0.2">
      <c r="B54" s="156"/>
      <c r="C54" s="149"/>
      <c r="D54" s="124"/>
      <c r="E54" s="124"/>
      <c r="F54" s="124"/>
      <c r="G54" s="124"/>
      <c r="H54" s="124"/>
      <c r="I54" s="124"/>
      <c r="J54" s="124"/>
      <c r="K54" s="124"/>
      <c r="L54" s="124"/>
      <c r="M54" s="124"/>
      <c r="N54" s="124"/>
      <c r="O54" s="124"/>
    </row>
    <row r="55" spans="2:15" s="123" customFormat="1" ht="60" customHeight="1" x14ac:dyDescent="0.2">
      <c r="B55" s="154" t="s">
        <v>964</v>
      </c>
      <c r="C55" s="155"/>
      <c r="D55" s="350" t="s">
        <v>341</v>
      </c>
      <c r="E55" s="775" t="s">
        <v>739</v>
      </c>
      <c r="F55" s="101"/>
      <c r="G55" s="101"/>
      <c r="H55" s="101"/>
      <c r="I55" s="101"/>
      <c r="J55" s="101"/>
      <c r="K55" s="101"/>
      <c r="L55" s="101"/>
      <c r="M55" s="101"/>
      <c r="N55" s="101"/>
      <c r="O55" s="101"/>
    </row>
    <row r="56" spans="2:15" s="123" customFormat="1" ht="30" customHeight="1" x14ac:dyDescent="0.2">
      <c r="B56" s="144" t="s">
        <v>262</v>
      </c>
      <c r="C56" s="150"/>
      <c r="D56" s="157">
        <f>(D50*$E$35/1000)</f>
        <v>0</v>
      </c>
      <c r="E56" s="157">
        <f>(E50*$E$35/1000)</f>
        <v>0</v>
      </c>
      <c r="F56" s="157"/>
      <c r="G56" s="157"/>
      <c r="H56" s="157"/>
      <c r="I56" s="157"/>
      <c r="J56" s="157"/>
      <c r="K56" s="157"/>
      <c r="L56" s="157"/>
      <c r="M56" s="157"/>
      <c r="N56" s="157"/>
      <c r="O56" s="157"/>
    </row>
    <row r="57" spans="2:15" s="123" customFormat="1" ht="30" customHeight="1" x14ac:dyDescent="0.2">
      <c r="B57" s="144" t="s">
        <v>171</v>
      </c>
      <c r="C57" s="150"/>
      <c r="D57" s="157">
        <f>(D51*$J$31/1000)</f>
        <v>0</v>
      </c>
      <c r="E57" s="157">
        <f>(E51*$J$31/1000)</f>
        <v>0</v>
      </c>
      <c r="F57" s="157"/>
      <c r="G57" s="157"/>
      <c r="H57" s="157"/>
      <c r="I57" s="157"/>
      <c r="J57" s="157"/>
      <c r="K57" s="157"/>
      <c r="L57" s="157"/>
      <c r="M57" s="157"/>
      <c r="N57" s="157"/>
      <c r="O57" s="157"/>
    </row>
    <row r="58" spans="2:15" s="123" customFormat="1" ht="30" customHeight="1" x14ac:dyDescent="0.2">
      <c r="B58" s="144" t="s">
        <v>154</v>
      </c>
      <c r="C58" s="150"/>
      <c r="D58" s="157">
        <f>(D52*$H$37/1000)</f>
        <v>0</v>
      </c>
      <c r="E58" s="157">
        <f>(E52*$H$37/1000)</f>
        <v>0</v>
      </c>
      <c r="F58" s="157"/>
      <c r="G58" s="157"/>
      <c r="H58" s="157"/>
      <c r="I58" s="157"/>
      <c r="J58" s="157"/>
      <c r="K58" s="157"/>
      <c r="L58" s="157"/>
      <c r="M58" s="157"/>
      <c r="N58" s="157"/>
      <c r="O58" s="157"/>
    </row>
    <row r="59" spans="2:15" ht="49.9" customHeight="1" x14ac:dyDescent="0.25">
      <c r="B59" s="785"/>
      <c r="C59" s="785"/>
      <c r="D59" s="1254">
        <f>SUM(D56:D58)</f>
        <v>0</v>
      </c>
      <c r="E59" s="1254">
        <f>SUM(E56:E58)</f>
        <v>0</v>
      </c>
      <c r="F59" s="189"/>
      <c r="G59" s="189"/>
      <c r="H59" s="189"/>
      <c r="I59" s="189"/>
      <c r="J59" s="189"/>
      <c r="K59" s="189"/>
      <c r="L59" s="189"/>
      <c r="M59" s="189"/>
      <c r="N59" s="189"/>
      <c r="O59" s="189"/>
    </row>
    <row r="60" spans="2:15" ht="48" customHeight="1" x14ac:dyDescent="0.25">
      <c r="B60" s="269" t="s">
        <v>965</v>
      </c>
      <c r="C60" s="3"/>
      <c r="D60" s="269">
        <f>IFERROR(SUM(D59:E59),"")</f>
        <v>0</v>
      </c>
      <c r="E60" s="189"/>
      <c r="F60" s="360"/>
      <c r="G60" s="361"/>
      <c r="H60" s="124"/>
      <c r="I60" s="189"/>
      <c r="J60" s="189"/>
      <c r="K60" s="1516"/>
      <c r="L60" s="1516"/>
      <c r="M60" s="361"/>
    </row>
    <row r="61" spans="2:15" ht="30" customHeight="1" x14ac:dyDescent="0.25">
      <c r="B61" s="3"/>
      <c r="C61" s="3"/>
      <c r="D61" s="361"/>
      <c r="E61" s="189"/>
      <c r="F61" s="189"/>
      <c r="G61" s="189"/>
      <c r="H61" s="124"/>
      <c r="I61" s="189"/>
      <c r="J61" s="189"/>
      <c r="K61" s="189"/>
      <c r="L61" s="189"/>
      <c r="M61" s="189"/>
    </row>
    <row r="62" spans="2:15" ht="30" customHeight="1" x14ac:dyDescent="0.25">
      <c r="B62" s="3"/>
      <c r="C62" s="3"/>
      <c r="D62" s="189"/>
      <c r="E62" s="189"/>
      <c r="F62" s="189"/>
      <c r="G62" s="189"/>
      <c r="H62" s="124"/>
      <c r="I62" s="189"/>
      <c r="J62" s="189"/>
      <c r="K62" s="189"/>
      <c r="L62" s="189"/>
      <c r="M62" s="189"/>
    </row>
    <row r="63" spans="2:15" s="190" customFormat="1" ht="70.150000000000006" customHeight="1" x14ac:dyDescent="0.35">
      <c r="B63" s="193" t="s">
        <v>968</v>
      </c>
      <c r="C63" s="191">
        <f>IFERROR(D60+D83,"")</f>
        <v>0</v>
      </c>
      <c r="D63" s="191"/>
      <c r="E63" s="191"/>
      <c r="F63" s="191"/>
      <c r="G63" s="1515"/>
      <c r="H63" s="1515"/>
      <c r="I63" s="191"/>
      <c r="J63" s="191"/>
      <c r="K63" s="191"/>
      <c r="L63" s="191"/>
      <c r="M63" s="191"/>
      <c r="N63" s="192"/>
      <c r="O63" s="197"/>
    </row>
    <row r="64" spans="2:15" s="194" customFormat="1" ht="30" customHeight="1" x14ac:dyDescent="0.35">
      <c r="B64" s="195"/>
      <c r="C64" s="196"/>
      <c r="D64" s="196"/>
      <c r="E64" s="196"/>
      <c r="F64" s="196"/>
      <c r="G64" s="196"/>
      <c r="H64" s="197"/>
      <c r="I64" s="196"/>
      <c r="J64" s="196"/>
      <c r="K64" s="196"/>
      <c r="L64" s="196"/>
      <c r="M64" s="196"/>
      <c r="N64" s="197"/>
      <c r="O64" s="197"/>
    </row>
    <row r="65" spans="1:25" s="198" customFormat="1" ht="30" customHeight="1" x14ac:dyDescent="0.25">
      <c r="B65" s="202" t="s">
        <v>966</v>
      </c>
      <c r="C65" s="199"/>
      <c r="D65" s="200"/>
      <c r="E65" s="200"/>
      <c r="F65" s="200"/>
      <c r="G65" s="200"/>
      <c r="H65" s="201"/>
      <c r="I65" s="200"/>
      <c r="J65" s="200"/>
      <c r="K65" s="200"/>
      <c r="L65" s="200"/>
      <c r="M65" s="200"/>
      <c r="N65" s="201"/>
      <c r="O65" s="1"/>
    </row>
    <row r="66" spans="1:25" s="1" customFormat="1" ht="30" customHeight="1" x14ac:dyDescent="0.25">
      <c r="A66"/>
      <c r="B66" s="3"/>
      <c r="C66" s="3"/>
      <c r="D66" s="189"/>
      <c r="E66" s="189"/>
      <c r="F66" s="189"/>
      <c r="G66" s="189"/>
      <c r="I66" s="189"/>
      <c r="J66" s="189"/>
      <c r="K66" s="189"/>
      <c r="L66" s="189"/>
      <c r="M66" s="189"/>
      <c r="P66"/>
      <c r="Q66"/>
      <c r="R66"/>
      <c r="S66"/>
      <c r="T66"/>
      <c r="U66"/>
      <c r="V66"/>
      <c r="W66"/>
      <c r="X66"/>
      <c r="Y66"/>
    </row>
    <row r="67" spans="1:25" s="1" customFormat="1" ht="30" customHeight="1" x14ac:dyDescent="0.25">
      <c r="A67"/>
      <c r="B67" s="176" t="s">
        <v>252</v>
      </c>
      <c r="C67" s="175"/>
      <c r="D67" s="177"/>
      <c r="E67" s="177"/>
      <c r="F67" s="177"/>
      <c r="G67" s="177"/>
      <c r="H67" s="177"/>
      <c r="I67" s="177"/>
      <c r="J67" s="177"/>
      <c r="K67" s="189"/>
      <c r="L67" s="189"/>
      <c r="M67" s="189"/>
      <c r="P67"/>
      <c r="Q67"/>
      <c r="R67"/>
      <c r="S67"/>
      <c r="T67"/>
      <c r="U67"/>
      <c r="V67"/>
      <c r="W67"/>
      <c r="X67"/>
      <c r="Y67"/>
    </row>
    <row r="68" spans="1:25" s="1" customFormat="1" ht="30" customHeight="1" x14ac:dyDescent="0.25">
      <c r="A68"/>
      <c r="B68" s="176"/>
      <c r="C68" s="175"/>
      <c r="D68" s="177"/>
      <c r="E68" s="177"/>
      <c r="F68" s="177"/>
      <c r="G68" s="177"/>
      <c r="H68" s="177"/>
      <c r="I68" s="177"/>
      <c r="J68" s="177"/>
      <c r="K68" s="189"/>
      <c r="L68" s="189"/>
      <c r="M68" s="189"/>
      <c r="P68"/>
      <c r="Q68"/>
      <c r="R68"/>
      <c r="S68"/>
      <c r="T68"/>
      <c r="U68"/>
      <c r="V68"/>
      <c r="W68"/>
      <c r="X68"/>
      <c r="Y68"/>
    </row>
    <row r="69" spans="1:25" s="1" customFormat="1" ht="30" customHeight="1" x14ac:dyDescent="0.25">
      <c r="A69"/>
      <c r="B69" s="120" t="s">
        <v>253</v>
      </c>
      <c r="C69" s="179" t="s">
        <v>77</v>
      </c>
      <c r="D69" s="122" t="s">
        <v>879</v>
      </c>
      <c r="E69" s="122" t="s">
        <v>256</v>
      </c>
      <c r="F69" s="177"/>
      <c r="G69" s="247" t="s">
        <v>258</v>
      </c>
      <c r="H69" s="388" t="s">
        <v>77</v>
      </c>
      <c r="I69" s="124" t="s">
        <v>880</v>
      </c>
      <c r="J69" s="124" t="s">
        <v>256</v>
      </c>
      <c r="K69" s="189"/>
      <c r="L69" s="189"/>
      <c r="M69" s="189"/>
      <c r="P69"/>
      <c r="Q69"/>
      <c r="R69"/>
      <c r="S69"/>
      <c r="T69"/>
      <c r="U69"/>
      <c r="V69"/>
      <c r="W69"/>
      <c r="X69"/>
      <c r="Y69"/>
    </row>
    <row r="70" spans="1:25" s="1" customFormat="1" ht="30" customHeight="1" x14ac:dyDescent="0.25">
      <c r="A70"/>
      <c r="B70" s="176" t="s">
        <v>125</v>
      </c>
      <c r="C70" s="178">
        <v>0.55000000000000004</v>
      </c>
      <c r="D70" s="180">
        <f>'Fatores de Emissão'!I99</f>
        <v>3.0562499999999999E-2</v>
      </c>
      <c r="E70" s="181">
        <f t="shared" ref="E70:E75" si="1">C70*D70</f>
        <v>1.6809375000000001E-2</v>
      </c>
      <c r="F70" s="177"/>
      <c r="G70" s="247" t="s">
        <v>125</v>
      </c>
      <c r="H70" s="388">
        <v>0.84</v>
      </c>
      <c r="I70" s="124">
        <f>'Fatores de Emissão'!I63</f>
        <v>6.4276816608996538E-3</v>
      </c>
      <c r="J70" s="389">
        <f>H70*I70</f>
        <v>5.3992525951557088E-3</v>
      </c>
      <c r="K70" s="189"/>
      <c r="L70" s="189"/>
      <c r="M70" s="189"/>
      <c r="P70"/>
      <c r="Q70"/>
      <c r="R70"/>
      <c r="S70"/>
      <c r="T70"/>
      <c r="U70"/>
      <c r="V70"/>
      <c r="W70"/>
      <c r="X70"/>
      <c r="Y70"/>
    </row>
    <row r="71" spans="1:25" s="1" customFormat="1" ht="30" customHeight="1" x14ac:dyDescent="0.25">
      <c r="A71"/>
      <c r="B71" s="176" t="s">
        <v>227</v>
      </c>
      <c r="C71" s="178">
        <v>0.38</v>
      </c>
      <c r="D71" s="180">
        <f>'Fatores de Emissão'!I93</f>
        <v>3.0562499999999999E-2</v>
      </c>
      <c r="E71" s="181">
        <f t="shared" si="1"/>
        <v>1.1613749999999999E-2</v>
      </c>
      <c r="F71" s="177"/>
      <c r="G71" s="247" t="s">
        <v>89</v>
      </c>
      <c r="H71" s="388">
        <v>0.16</v>
      </c>
      <c r="I71" s="124">
        <f>'Fatores de Emissão'!I68</f>
        <v>6.2449826989619374E-3</v>
      </c>
      <c r="J71" s="389">
        <f>H71*I71</f>
        <v>9.9919723183390999E-4</v>
      </c>
      <c r="K71" s="189"/>
      <c r="L71" s="189"/>
      <c r="M71" s="189"/>
      <c r="P71"/>
      <c r="Q71"/>
      <c r="R71"/>
      <c r="S71"/>
      <c r="T71"/>
      <c r="U71"/>
      <c r="V71"/>
      <c r="W71"/>
      <c r="X71"/>
      <c r="Y71"/>
    </row>
    <row r="72" spans="1:25" s="1" customFormat="1" ht="30" customHeight="1" x14ac:dyDescent="0.25">
      <c r="A72"/>
      <c r="B72" s="176" t="s">
        <v>230</v>
      </c>
      <c r="C72" s="178">
        <v>0.01</v>
      </c>
      <c r="D72" s="180">
        <f>'Fatores de Emissão'!I102</f>
        <v>3.0562499999999999E-2</v>
      </c>
      <c r="E72" s="181">
        <f t="shared" si="1"/>
        <v>3.0562500000000002E-4</v>
      </c>
      <c r="F72" s="177"/>
      <c r="G72" s="781" t="s">
        <v>246</v>
      </c>
      <c r="H72" s="782"/>
      <c r="I72" s="783"/>
      <c r="J72" s="786">
        <f>SUM(J66:J71)</f>
        <v>6.3984498269896188E-3</v>
      </c>
      <c r="K72" s="189"/>
      <c r="L72" s="189"/>
      <c r="M72" s="189"/>
      <c r="P72"/>
      <c r="Q72"/>
      <c r="R72"/>
      <c r="S72"/>
      <c r="T72"/>
      <c r="U72"/>
      <c r="V72"/>
      <c r="W72"/>
      <c r="X72"/>
      <c r="Y72"/>
    </row>
    <row r="73" spans="1:25" s="1" customFormat="1" ht="30" customHeight="1" x14ac:dyDescent="0.25">
      <c r="A73"/>
      <c r="B73" s="176" t="s">
        <v>255</v>
      </c>
      <c r="C73" s="178">
        <v>0.02</v>
      </c>
      <c r="D73" s="180">
        <f>'Fatores de Emissão'!G9</f>
        <v>8.712499999999998E-2</v>
      </c>
      <c r="E73" s="181">
        <f t="shared" si="1"/>
        <v>1.7424999999999997E-3</v>
      </c>
      <c r="F73" s="177"/>
      <c r="G73" s="177"/>
      <c r="H73" s="177"/>
      <c r="I73" s="177"/>
      <c r="J73" s="177"/>
      <c r="K73" s="189"/>
      <c r="L73" s="189"/>
      <c r="M73" s="189"/>
      <c r="P73"/>
      <c r="Q73"/>
      <c r="R73"/>
      <c r="S73"/>
      <c r="T73"/>
      <c r="U73"/>
      <c r="V73"/>
      <c r="W73"/>
      <c r="X73"/>
      <c r="Y73"/>
    </row>
    <row r="74" spans="1:25" s="1" customFormat="1" ht="30" customHeight="1" x14ac:dyDescent="0.25">
      <c r="A74"/>
      <c r="B74" s="176" t="s">
        <v>254</v>
      </c>
      <c r="C74" s="178">
        <v>0.02</v>
      </c>
      <c r="D74" s="180">
        <f>'Fatores de Emissão'!I96</f>
        <v>3.0562499999999999E-2</v>
      </c>
      <c r="E74" s="181">
        <f t="shared" si="1"/>
        <v>6.1125000000000003E-4</v>
      </c>
      <c r="F74" s="177"/>
      <c r="G74" s="177"/>
      <c r="H74" s="177"/>
      <c r="I74" s="177"/>
      <c r="J74" s="177"/>
      <c r="K74" s="189"/>
      <c r="L74" s="189"/>
      <c r="M74" s="189"/>
      <c r="P74"/>
      <c r="Q74"/>
      <c r="R74"/>
      <c r="S74"/>
      <c r="T74"/>
      <c r="U74"/>
      <c r="V74"/>
      <c r="W74"/>
      <c r="X74"/>
      <c r="Y74"/>
    </row>
    <row r="75" spans="1:25" s="1" customFormat="1" ht="30" customHeight="1" x14ac:dyDescent="0.25">
      <c r="A75"/>
      <c r="B75" s="176" t="s">
        <v>967</v>
      </c>
      <c r="C75" s="178">
        <v>0.02</v>
      </c>
      <c r="D75" s="180">
        <f>'Fatores de Emissão'!G10</f>
        <v>4.5937499999999992E-2</v>
      </c>
      <c r="E75" s="181">
        <f t="shared" si="1"/>
        <v>9.1874999999999986E-4</v>
      </c>
      <c r="F75" s="177"/>
      <c r="G75" s="188" t="s">
        <v>263</v>
      </c>
      <c r="H75" s="186" t="s">
        <v>9</v>
      </c>
      <c r="I75" s="177"/>
      <c r="J75" s="177"/>
      <c r="K75" s="189"/>
      <c r="L75" s="189"/>
      <c r="M75" s="189"/>
      <c r="P75"/>
      <c r="Q75"/>
      <c r="R75"/>
      <c r="S75"/>
      <c r="T75"/>
      <c r="U75"/>
      <c r="V75"/>
      <c r="W75"/>
      <c r="X75"/>
      <c r="Y75"/>
    </row>
    <row r="76" spans="1:25" s="1" customFormat="1" ht="30" customHeight="1" x14ac:dyDescent="0.25">
      <c r="A76"/>
      <c r="B76" s="182" t="s">
        <v>246</v>
      </c>
      <c r="C76" s="183">
        <f>SUM(C70:C75)</f>
        <v>1</v>
      </c>
      <c r="D76" s="184"/>
      <c r="E76" s="185">
        <f>SUM(E70:E75)</f>
        <v>3.2001250000000002E-2</v>
      </c>
      <c r="F76" s="177"/>
      <c r="G76" s="204" t="s">
        <v>275</v>
      </c>
      <c r="H76" s="205">
        <f>'Fatores de Emissão'!G50</f>
        <v>2E-3</v>
      </c>
      <c r="I76" s="177"/>
      <c r="J76" s="177"/>
      <c r="K76" s="189"/>
      <c r="L76" s="189"/>
      <c r="M76" s="189"/>
      <c r="P76"/>
      <c r="Q76"/>
      <c r="R76"/>
      <c r="S76"/>
      <c r="T76"/>
      <c r="U76"/>
      <c r="V76"/>
      <c r="W76"/>
      <c r="X76"/>
      <c r="Y76"/>
    </row>
    <row r="77" spans="1:25" s="1" customFormat="1" ht="30" customHeight="1" x14ac:dyDescent="0.25">
      <c r="A77"/>
      <c r="B77" s="175"/>
      <c r="C77" s="175"/>
      <c r="D77" s="177"/>
      <c r="E77" s="177"/>
      <c r="F77" s="177"/>
      <c r="G77" s="204"/>
      <c r="H77" s="205"/>
      <c r="I77" s="177"/>
      <c r="J77" s="177"/>
      <c r="K77" s="189"/>
      <c r="L77" s="189"/>
      <c r="M77" s="189"/>
      <c r="P77"/>
      <c r="Q77"/>
      <c r="R77"/>
      <c r="S77"/>
      <c r="T77"/>
      <c r="U77"/>
      <c r="V77"/>
      <c r="W77"/>
      <c r="X77"/>
      <c r="Y77"/>
    </row>
    <row r="78" spans="1:25" ht="49.9" customHeight="1" x14ac:dyDescent="0.25">
      <c r="B78" s="154" t="s">
        <v>971</v>
      </c>
      <c r="C78" s="155"/>
      <c r="D78" s="393" t="s">
        <v>341</v>
      </c>
      <c r="E78" s="775" t="s">
        <v>739</v>
      </c>
      <c r="F78" s="101"/>
      <c r="G78" s="187" t="s">
        <v>154</v>
      </c>
      <c r="H78" s="177">
        <f>'Fatores de Emissão'!G47</f>
        <v>2E-3</v>
      </c>
      <c r="I78" s="101"/>
      <c r="J78" s="101"/>
      <c r="K78" s="101"/>
      <c r="L78" s="101"/>
      <c r="M78" s="101"/>
      <c r="N78" s="101"/>
      <c r="O78" s="101"/>
    </row>
    <row r="79" spans="1:25" ht="49.9" customHeight="1" x14ac:dyDescent="0.25">
      <c r="B79" s="144" t="s">
        <v>262</v>
      </c>
      <c r="C79" s="150"/>
      <c r="D79" s="157">
        <f>(D50*$E$76/1000)</f>
        <v>0</v>
      </c>
      <c r="E79" s="157">
        <f>(E50*$E$76/1000)</f>
        <v>0</v>
      </c>
      <c r="F79" s="157"/>
      <c r="G79" s="187"/>
      <c r="H79" s="177"/>
      <c r="I79" s="157"/>
      <c r="J79" s="157"/>
      <c r="K79" s="157"/>
      <c r="L79" s="157"/>
      <c r="M79" s="157"/>
      <c r="N79" s="157"/>
      <c r="O79" s="157"/>
    </row>
    <row r="80" spans="1:25" ht="49.9" customHeight="1" x14ac:dyDescent="0.25">
      <c r="B80" s="144" t="s">
        <v>171</v>
      </c>
      <c r="C80" s="150"/>
      <c r="D80" s="157">
        <f>(D51*$J$72/1000)</f>
        <v>0</v>
      </c>
      <c r="E80" s="157">
        <f>(E51*$J$72/1000)</f>
        <v>0</v>
      </c>
      <c r="F80" s="157"/>
      <c r="G80" s="157"/>
      <c r="H80" s="157"/>
      <c r="I80" s="157"/>
      <c r="J80" s="157"/>
      <c r="K80" s="157"/>
      <c r="L80" s="157"/>
      <c r="M80" s="157"/>
      <c r="N80" s="157"/>
      <c r="O80" s="157"/>
    </row>
    <row r="81" spans="1:25" ht="49.9" customHeight="1" x14ac:dyDescent="0.25">
      <c r="A81" s="101"/>
      <c r="B81" s="144" t="s">
        <v>154</v>
      </c>
      <c r="C81" s="150"/>
      <c r="D81" s="157">
        <f>(D52*H78/1000)</f>
        <v>0</v>
      </c>
      <c r="E81" s="157">
        <f>(E52*H78/1000)</f>
        <v>0</v>
      </c>
      <c r="F81" s="157"/>
      <c r="G81" s="157"/>
      <c r="H81" s="157"/>
      <c r="I81" s="157"/>
      <c r="J81" s="392"/>
      <c r="K81" s="157"/>
      <c r="L81" s="157"/>
      <c r="M81" s="157"/>
      <c r="N81" s="157"/>
      <c r="O81" s="157"/>
    </row>
    <row r="82" spans="1:25" ht="49.9" customHeight="1" x14ac:dyDescent="0.25">
      <c r="A82" s="349"/>
      <c r="B82" s="250" t="s">
        <v>5</v>
      </c>
      <c r="C82" s="173"/>
      <c r="D82" s="174">
        <f>IFERROR(SUM(D79:D81),"")</f>
        <v>0</v>
      </c>
      <c r="E82" s="174">
        <f>IFERROR(SUM(E79:E81),"")</f>
        <v>0</v>
      </c>
      <c r="F82" s="189"/>
      <c r="G82" s="189"/>
      <c r="H82" s="189"/>
      <c r="I82" s="189"/>
      <c r="J82" s="189"/>
      <c r="K82" s="189"/>
      <c r="L82" s="189"/>
      <c r="M82" s="189"/>
      <c r="N82" s="189"/>
      <c r="O82" s="189"/>
    </row>
    <row r="83" spans="1:25" ht="49.9" customHeight="1" x14ac:dyDescent="0.25">
      <c r="A83" s="349"/>
      <c r="B83" s="788" t="s">
        <v>970</v>
      </c>
      <c r="C83" s="787"/>
      <c r="D83" s="268">
        <f>IFERROR(SUM(D82:E82),"")</f>
        <v>0</v>
      </c>
      <c r="E83" s="189"/>
      <c r="F83" s="360"/>
      <c r="G83" s="361"/>
      <c r="H83" s="124"/>
      <c r="I83" s="189"/>
      <c r="J83" s="189"/>
      <c r="K83" s="189"/>
      <c r="L83" s="360"/>
      <c r="M83" s="361"/>
    </row>
    <row r="84" spans="1:25" ht="30" customHeight="1" x14ac:dyDescent="0.25">
      <c r="A84" s="349"/>
      <c r="B84" s="141"/>
      <c r="C84" s="356"/>
      <c r="D84" s="157"/>
      <c r="E84" s="157"/>
      <c r="F84" s="157"/>
      <c r="G84" s="157"/>
      <c r="H84" s="157"/>
      <c r="I84" s="349"/>
      <c r="J84" s="349"/>
      <c r="K84" s="349"/>
      <c r="L84" s="349"/>
      <c r="M84" s="349"/>
    </row>
    <row r="85" spans="1:25" ht="30" customHeight="1" x14ac:dyDescent="0.25">
      <c r="A85" s="349"/>
      <c r="B85" s="141"/>
      <c r="C85" s="356"/>
      <c r="D85" s="157"/>
      <c r="E85" s="157"/>
      <c r="F85" s="157"/>
      <c r="G85" s="157"/>
      <c r="H85" s="157"/>
      <c r="I85" s="349"/>
      <c r="J85" s="349"/>
      <c r="K85" s="349"/>
      <c r="L85" s="349"/>
      <c r="M85" s="349"/>
    </row>
    <row r="86" spans="1:25" ht="30" customHeight="1" x14ac:dyDescent="0.25">
      <c r="A86" s="349"/>
      <c r="B86" s="141"/>
      <c r="C86" s="356"/>
      <c r="D86" s="157"/>
      <c r="E86" s="157"/>
      <c r="F86" s="157"/>
      <c r="G86" s="157"/>
      <c r="H86" s="157"/>
      <c r="I86" s="349"/>
      <c r="J86" s="349"/>
      <c r="K86" s="349"/>
      <c r="L86" s="349"/>
      <c r="M86" s="349"/>
    </row>
    <row r="87" spans="1:25" ht="30" customHeight="1" x14ac:dyDescent="0.25">
      <c r="A87" s="123"/>
      <c r="B87" s="141"/>
      <c r="C87" s="356"/>
      <c r="D87" s="157"/>
      <c r="E87" s="157"/>
      <c r="F87" s="157"/>
      <c r="G87" s="157"/>
      <c r="H87" s="157"/>
      <c r="I87" s="141"/>
      <c r="J87" s="141"/>
      <c r="K87" s="141"/>
      <c r="L87" s="141"/>
      <c r="M87" s="141"/>
    </row>
    <row r="88" spans="1:25" ht="30" customHeight="1" x14ac:dyDescent="0.25">
      <c r="A88" s="123"/>
      <c r="B88" s="357"/>
      <c r="C88" s="357"/>
      <c r="D88" s="101"/>
      <c r="E88" s="101"/>
      <c r="F88" s="101"/>
      <c r="G88" s="101"/>
      <c r="H88" s="101"/>
      <c r="I88" s="101"/>
      <c r="J88" s="101"/>
      <c r="K88" s="101"/>
      <c r="L88" s="101"/>
      <c r="M88" s="101"/>
    </row>
    <row r="89" spans="1:25" ht="30" customHeight="1" x14ac:dyDescent="0.25">
      <c r="A89" s="123"/>
      <c r="B89" s="141"/>
      <c r="C89" s="141"/>
      <c r="D89" s="141"/>
      <c r="E89" s="141"/>
      <c r="F89" s="141"/>
      <c r="G89" s="141"/>
      <c r="H89" s="141"/>
      <c r="I89" s="157"/>
      <c r="J89" s="157"/>
      <c r="K89" s="141"/>
      <c r="L89" s="141"/>
      <c r="M89" s="141"/>
    </row>
    <row r="90" spans="1:25" ht="30" customHeight="1" x14ac:dyDescent="0.25">
      <c r="A90" s="123"/>
      <c r="B90" s="141"/>
      <c r="C90" s="141"/>
      <c r="D90" s="141"/>
      <c r="E90" s="141"/>
      <c r="F90" s="141"/>
      <c r="G90" s="141"/>
      <c r="H90" s="141"/>
      <c r="I90" s="157"/>
      <c r="J90" s="157"/>
      <c r="K90" s="141"/>
      <c r="L90" s="141"/>
      <c r="M90" s="141"/>
    </row>
    <row r="91" spans="1:25" s="1" customFormat="1" ht="30" customHeight="1" x14ac:dyDescent="0.25">
      <c r="A91" s="123"/>
      <c r="B91" s="141"/>
      <c r="C91" s="141"/>
      <c r="D91" s="141"/>
      <c r="E91" s="141"/>
      <c r="F91" s="141"/>
      <c r="G91" s="141"/>
      <c r="H91" s="141"/>
      <c r="I91" s="157"/>
      <c r="J91" s="157"/>
      <c r="K91" s="141"/>
      <c r="L91" s="141"/>
      <c r="M91" s="141"/>
      <c r="P91"/>
      <c r="Q91"/>
      <c r="R91"/>
      <c r="S91"/>
      <c r="T91"/>
      <c r="U91"/>
      <c r="V91"/>
      <c r="W91"/>
      <c r="X91"/>
      <c r="Y91"/>
    </row>
    <row r="92" spans="1:25" s="1" customFormat="1" ht="30" customHeight="1" x14ac:dyDescent="0.25">
      <c r="A92" s="123"/>
      <c r="B92" s="141"/>
      <c r="C92" s="141"/>
      <c r="D92" s="141"/>
      <c r="E92" s="141"/>
      <c r="F92" s="141"/>
      <c r="G92" s="141"/>
      <c r="H92" s="141"/>
      <c r="I92" s="157"/>
      <c r="J92" s="157"/>
      <c r="K92" s="141"/>
      <c r="L92" s="141"/>
      <c r="M92" s="141"/>
      <c r="P92"/>
      <c r="Q92"/>
      <c r="R92"/>
      <c r="S92"/>
      <c r="T92"/>
      <c r="U92"/>
      <c r="V92"/>
      <c r="W92"/>
      <c r="X92"/>
      <c r="Y92"/>
    </row>
    <row r="93" spans="1:25" s="1" customFormat="1" ht="30" customHeight="1" x14ac:dyDescent="0.25">
      <c r="A93" s="123"/>
      <c r="B93" s="358"/>
      <c r="C93" s="141"/>
      <c r="D93" s="141"/>
      <c r="E93" s="141"/>
      <c r="F93" s="141"/>
      <c r="G93" s="141"/>
      <c r="H93" s="141"/>
      <c r="I93" s="157"/>
      <c r="J93" s="157"/>
      <c r="K93" s="141"/>
      <c r="L93" s="141"/>
      <c r="M93" s="141"/>
      <c r="P93"/>
      <c r="Q93"/>
      <c r="R93"/>
      <c r="S93"/>
      <c r="T93"/>
      <c r="U93"/>
      <c r="V93"/>
      <c r="W93"/>
      <c r="X93"/>
      <c r="Y93"/>
    </row>
    <row r="94" spans="1:25" s="1" customFormat="1" ht="30" customHeight="1" x14ac:dyDescent="0.25">
      <c r="A94" s="123"/>
      <c r="B94" s="358"/>
      <c r="C94" s="141"/>
      <c r="D94" s="124"/>
      <c r="E94" s="124"/>
      <c r="F94" s="124"/>
      <c r="G94" s="124"/>
      <c r="H94" s="124"/>
      <c r="I94" s="124"/>
      <c r="J94" s="124"/>
      <c r="K94" s="124"/>
      <c r="L94" s="124"/>
      <c r="M94" s="124"/>
      <c r="P94"/>
      <c r="Q94"/>
      <c r="R94"/>
      <c r="S94"/>
      <c r="T94"/>
      <c r="U94"/>
      <c r="V94"/>
      <c r="W94"/>
      <c r="X94"/>
      <c r="Y94"/>
    </row>
    <row r="95" spans="1:25" s="1" customFormat="1" ht="30" customHeight="1" x14ac:dyDescent="0.25">
      <c r="A95" s="123"/>
      <c r="B95" s="359"/>
      <c r="C95" s="358"/>
      <c r="D95" s="101"/>
      <c r="E95" s="101"/>
      <c r="F95" s="101"/>
      <c r="G95" s="101"/>
      <c r="H95" s="101"/>
      <c r="I95" s="101"/>
      <c r="J95" s="101"/>
      <c r="K95" s="101"/>
      <c r="L95" s="101"/>
      <c r="M95" s="101"/>
      <c r="P95"/>
      <c r="Q95"/>
      <c r="R95"/>
      <c r="S95"/>
      <c r="T95"/>
      <c r="U95"/>
      <c r="V95"/>
      <c r="W95"/>
      <c r="X95"/>
      <c r="Y95"/>
    </row>
    <row r="96" spans="1:25" s="1" customFormat="1" ht="30" customHeight="1" x14ac:dyDescent="0.25">
      <c r="A96" s="123"/>
      <c r="B96" s="141"/>
      <c r="C96" s="358"/>
      <c r="D96" s="157"/>
      <c r="E96" s="157"/>
      <c r="F96" s="157"/>
      <c r="G96" s="157"/>
      <c r="H96" s="157"/>
      <c r="I96" s="157"/>
      <c r="J96" s="157"/>
      <c r="K96" s="157"/>
      <c r="L96" s="157"/>
      <c r="M96" s="157"/>
      <c r="P96"/>
      <c r="Q96"/>
      <c r="R96"/>
      <c r="S96"/>
      <c r="T96"/>
      <c r="U96"/>
      <c r="V96"/>
      <c r="W96"/>
      <c r="X96"/>
      <c r="Y96"/>
    </row>
    <row r="97" spans="1:25" s="1" customFormat="1" ht="30" customHeight="1" x14ac:dyDescent="0.25">
      <c r="A97" s="123"/>
      <c r="B97" s="141"/>
      <c r="C97" s="358"/>
      <c r="D97" s="157"/>
      <c r="E97" s="157"/>
      <c r="F97" s="157"/>
      <c r="G97" s="157"/>
      <c r="H97" s="157"/>
      <c r="I97" s="157"/>
      <c r="J97" s="157"/>
      <c r="K97" s="157"/>
      <c r="L97" s="157"/>
      <c r="M97" s="157"/>
      <c r="P97"/>
      <c r="Q97"/>
      <c r="R97"/>
      <c r="S97"/>
      <c r="T97"/>
      <c r="U97"/>
      <c r="V97"/>
      <c r="W97"/>
      <c r="X97"/>
      <c r="Y97"/>
    </row>
    <row r="98" spans="1:25" s="1" customFormat="1" ht="30" customHeight="1" x14ac:dyDescent="0.25">
      <c r="A98" s="158"/>
      <c r="B98" s="141"/>
      <c r="C98" s="358"/>
      <c r="D98" s="157"/>
      <c r="E98" s="157"/>
      <c r="F98" s="157"/>
      <c r="G98" s="157"/>
      <c r="H98" s="157"/>
      <c r="I98" s="157"/>
      <c r="J98" s="157"/>
      <c r="K98" s="157"/>
      <c r="L98" s="157"/>
      <c r="M98" s="157"/>
      <c r="P98"/>
      <c r="Q98"/>
      <c r="R98"/>
      <c r="S98"/>
      <c r="T98"/>
      <c r="U98"/>
      <c r="V98"/>
      <c r="W98"/>
      <c r="X98"/>
      <c r="Y98"/>
    </row>
    <row r="99" spans="1:25" s="1" customFormat="1" ht="30" customHeight="1" x14ac:dyDescent="0.25">
      <c r="A99" s="123"/>
      <c r="B99" s="141"/>
      <c r="C99" s="358"/>
      <c r="D99" s="157"/>
      <c r="E99" s="157"/>
      <c r="F99" s="157"/>
      <c r="G99" s="157"/>
      <c r="H99" s="157"/>
      <c r="I99" s="157"/>
      <c r="J99" s="157"/>
      <c r="K99" s="157"/>
      <c r="L99" s="157"/>
      <c r="M99" s="157"/>
      <c r="P99"/>
      <c r="Q99"/>
      <c r="R99"/>
      <c r="S99"/>
      <c r="T99"/>
      <c r="U99"/>
      <c r="V99"/>
      <c r="W99"/>
      <c r="X99"/>
      <c r="Y99"/>
    </row>
    <row r="100" spans="1:25" s="1" customFormat="1" ht="30" customHeight="1" x14ac:dyDescent="0.25">
      <c r="A100" s="123"/>
      <c r="B100" s="358"/>
      <c r="C100" s="358"/>
      <c r="D100" s="157"/>
      <c r="E100" s="157"/>
      <c r="F100" s="157"/>
      <c r="G100" s="157"/>
      <c r="H100" s="157"/>
      <c r="I100" s="157"/>
      <c r="J100" s="157"/>
      <c r="K100" s="157"/>
      <c r="L100" s="157"/>
      <c r="M100" s="157"/>
      <c r="P100"/>
      <c r="Q100"/>
      <c r="R100"/>
      <c r="S100"/>
      <c r="T100"/>
      <c r="U100"/>
      <c r="V100"/>
      <c r="W100"/>
      <c r="X100"/>
      <c r="Y100"/>
    </row>
    <row r="101" spans="1:25" s="1" customFormat="1" ht="30" customHeight="1" x14ac:dyDescent="0.25">
      <c r="A101"/>
      <c r="B101" s="100"/>
      <c r="C101" s="3"/>
      <c r="D101" s="189"/>
      <c r="E101" s="189"/>
      <c r="F101" s="189"/>
      <c r="G101" s="189"/>
      <c r="H101" s="189"/>
      <c r="I101" s="189"/>
      <c r="J101" s="189"/>
      <c r="K101" s="189"/>
      <c r="L101" s="189"/>
      <c r="M101" s="189"/>
      <c r="P101"/>
      <c r="Q101"/>
      <c r="R101"/>
      <c r="S101"/>
      <c r="T101"/>
      <c r="U101"/>
      <c r="V101"/>
      <c r="W101"/>
      <c r="X101"/>
      <c r="Y101"/>
    </row>
    <row r="102" spans="1:25" s="1" customFormat="1" ht="30" customHeight="1" x14ac:dyDescent="0.25">
      <c r="A102"/>
      <c r="B102" s="3"/>
      <c r="C102" s="3"/>
      <c r="D102" s="189"/>
      <c r="E102" s="189"/>
      <c r="F102" s="360"/>
      <c r="G102" s="361"/>
      <c r="H102" s="124"/>
      <c r="I102" s="189"/>
      <c r="J102" s="189"/>
      <c r="K102" s="189"/>
      <c r="L102" s="360"/>
      <c r="M102" s="361"/>
      <c r="P102"/>
      <c r="Q102"/>
      <c r="R102"/>
      <c r="S102"/>
      <c r="T102"/>
      <c r="U102"/>
      <c r="V102"/>
      <c r="W102"/>
      <c r="X102"/>
      <c r="Y102"/>
    </row>
    <row r="108" spans="1:25" s="1" customFormat="1" ht="30" customHeight="1" x14ac:dyDescent="0.25">
      <c r="A108"/>
      <c r="B108" s="193" t="s">
        <v>271</v>
      </c>
      <c r="C108" s="191">
        <f>(H101+M101)+C63</f>
        <v>0</v>
      </c>
      <c r="D108" s="191"/>
      <c r="E108" s="191"/>
      <c r="F108" s="191"/>
      <c r="G108" s="191"/>
      <c r="H108" s="192"/>
      <c r="I108" s="191"/>
      <c r="J108" s="191"/>
      <c r="K108" s="191"/>
      <c r="L108" s="191"/>
      <c r="M108" s="191"/>
      <c r="P108"/>
      <c r="Q108"/>
      <c r="R108"/>
      <c r="S108"/>
      <c r="T108"/>
      <c r="U108"/>
      <c r="V108"/>
      <c r="W108"/>
      <c r="X108"/>
      <c r="Y108"/>
    </row>
  </sheetData>
  <mergeCells count="3">
    <mergeCell ref="K60:L60"/>
    <mergeCell ref="G63:H63"/>
    <mergeCell ref="D42:E42"/>
  </mergeCell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35EBD-70AE-4C53-AD00-598CDCA09944}">
  <sheetPr>
    <tabColor rgb="FF02A39C"/>
  </sheetPr>
  <dimension ref="A2:W179"/>
  <sheetViews>
    <sheetView showGridLines="0" zoomScale="66" zoomScaleNormal="66" workbookViewId="0">
      <pane ySplit="2" topLeftCell="A3" activePane="bottomLeft" state="frozen"/>
      <selection activeCell="D13" sqref="D13"/>
      <selection pane="bottomLeft" activeCell="K5" sqref="K5:L5"/>
    </sheetView>
  </sheetViews>
  <sheetFormatPr defaultRowHeight="15" x14ac:dyDescent="0.25"/>
  <cols>
    <col min="1" max="1" width="3.7109375" customWidth="1"/>
    <col min="2" max="2" width="2.7109375" customWidth="1"/>
    <col min="3" max="3" width="48" customWidth="1"/>
    <col min="4" max="4" width="16.28515625" customWidth="1"/>
    <col min="5" max="5" width="38.42578125" customWidth="1"/>
    <col min="6" max="7" width="37.7109375" customWidth="1"/>
    <col min="8" max="8" width="3.7109375" customWidth="1"/>
    <col min="9" max="9" width="9.28515625" customWidth="1"/>
    <col min="10" max="10" width="37.42578125" customWidth="1"/>
    <col min="11" max="11" width="22.28515625" customWidth="1"/>
    <col min="12" max="12" width="30.7109375" customWidth="1"/>
    <col min="13" max="13" width="21.7109375" customWidth="1"/>
    <col min="15" max="18" width="15.7109375" customWidth="1"/>
    <col min="20" max="21" width="40.7109375" hidden="1" customWidth="1"/>
  </cols>
  <sheetData>
    <row r="2" spans="1:23" s="4" customFormat="1" ht="70.150000000000006" customHeight="1" x14ac:dyDescent="0.25">
      <c r="A2" s="297"/>
      <c r="C2" s="373" t="s">
        <v>794</v>
      </c>
      <c r="D2" s="52"/>
      <c r="E2" s="52"/>
      <c r="F2" s="52"/>
      <c r="G2" s="52"/>
      <c r="H2" s="52"/>
      <c r="I2" s="52"/>
      <c r="J2" s="52"/>
      <c r="K2" s="52"/>
      <c r="L2" s="52"/>
      <c r="M2" s="52"/>
      <c r="N2" s="52"/>
      <c r="O2" s="52"/>
      <c r="P2" s="52"/>
      <c r="Q2" s="52"/>
      <c r="R2" s="52"/>
      <c r="S2" s="52"/>
      <c r="T2" s="52"/>
      <c r="U2" s="52"/>
      <c r="V2" s="52"/>
      <c r="W2" s="52"/>
    </row>
    <row r="4" spans="1:23" ht="15.75" thickBot="1" x14ac:dyDescent="0.3"/>
    <row r="5" spans="1:23" ht="40.15" customHeight="1" thickBot="1" x14ac:dyDescent="0.3">
      <c r="B5" s="66"/>
      <c r="C5" s="66" t="s">
        <v>497</v>
      </c>
      <c r="D5" s="57"/>
      <c r="E5" s="57"/>
      <c r="F5" s="57"/>
      <c r="G5" s="57"/>
      <c r="H5" s="58"/>
      <c r="I5" s="56"/>
      <c r="J5" s="562" t="s">
        <v>608</v>
      </c>
      <c r="K5" s="1412" t="s">
        <v>603</v>
      </c>
      <c r="L5" s="1413"/>
      <c r="T5" s="560" t="s">
        <v>603</v>
      </c>
      <c r="U5" s="554" t="s">
        <v>979</v>
      </c>
    </row>
    <row r="6" spans="1:23" ht="15" customHeight="1" x14ac:dyDescent="0.25">
      <c r="B6" s="512"/>
      <c r="C6" s="56"/>
      <c r="D6" s="56"/>
      <c r="E6" s="56"/>
      <c r="F6" s="56"/>
      <c r="G6" s="56"/>
      <c r="H6" s="511"/>
      <c r="I6" s="56"/>
      <c r="J6" s="1414" t="str">
        <f>IF(K5="","",VLOOKUP(K5,T5:U7,2,FALSE))</f>
        <v>Cálculo das emissões absolutas (Ab), das emissões emissões de referência (Be) e das emissões relativas (Re= Ab - Be)  de projetos relacionados com parques de estacionamento associados a interfaces modais que impliquem transferência modal.</v>
      </c>
      <c r="K6" s="1415"/>
      <c r="L6" s="1416"/>
      <c r="T6" s="560" t="s">
        <v>606</v>
      </c>
      <c r="U6" s="553" t="s">
        <v>1276</v>
      </c>
    </row>
    <row r="7" spans="1:23" ht="24" customHeight="1" x14ac:dyDescent="0.25">
      <c r="B7" s="59"/>
      <c r="C7" s="116" t="s">
        <v>489</v>
      </c>
      <c r="D7" s="115"/>
      <c r="E7" s="115"/>
      <c r="F7" s="115"/>
      <c r="G7" s="115"/>
      <c r="H7" s="69"/>
      <c r="I7" s="54"/>
      <c r="J7" s="1417"/>
      <c r="K7" s="1418"/>
      <c r="L7" s="1419"/>
      <c r="T7" s="560"/>
      <c r="U7" s="561" t="s">
        <v>978</v>
      </c>
    </row>
    <row r="8" spans="1:23" ht="24" customHeight="1" x14ac:dyDescent="0.25">
      <c r="B8" s="59"/>
      <c r="C8" s="92"/>
      <c r="D8" s="92"/>
      <c r="E8" s="92"/>
      <c r="F8" s="92"/>
      <c r="G8" s="92"/>
      <c r="H8" s="69"/>
      <c r="I8" s="54"/>
      <c r="J8" s="1417"/>
      <c r="K8" s="1418"/>
      <c r="L8" s="1419"/>
    </row>
    <row r="9" spans="1:23" ht="24" customHeight="1" thickBot="1" x14ac:dyDescent="0.3">
      <c r="B9" s="59"/>
      <c r="C9" s="686" t="s">
        <v>634</v>
      </c>
      <c r="D9" s="687"/>
      <c r="E9" s="687"/>
      <c r="F9" s="687"/>
      <c r="G9" s="687"/>
      <c r="H9" s="69"/>
      <c r="I9" s="54"/>
      <c r="J9" s="1420"/>
      <c r="K9" s="1421"/>
      <c r="L9" s="1422"/>
    </row>
    <row r="10" spans="1:23" ht="43.15" customHeight="1" x14ac:dyDescent="0.25">
      <c r="B10" s="59"/>
      <c r="C10" s="564" t="s">
        <v>611</v>
      </c>
      <c r="D10" s="1460" t="s">
        <v>622</v>
      </c>
      <c r="E10" s="1461"/>
      <c r="F10" s="1461"/>
      <c r="G10" s="1462"/>
      <c r="H10" s="69"/>
      <c r="I10" s="54"/>
      <c r="J10" s="55"/>
      <c r="K10" s="48"/>
      <c r="T10" s="560"/>
    </row>
    <row r="11" spans="1:23" ht="24" customHeight="1" x14ac:dyDescent="0.25">
      <c r="B11" s="59"/>
      <c r="C11" s="684"/>
      <c r="D11" s="1463" t="s">
        <v>635</v>
      </c>
      <c r="E11" s="1464"/>
      <c r="F11" s="1464"/>
      <c r="G11" s="1465"/>
      <c r="H11" s="69"/>
      <c r="I11" s="54"/>
      <c r="J11" s="55"/>
      <c r="K11" s="48"/>
    </row>
    <row r="12" spans="1:23" ht="24" customHeight="1" x14ac:dyDescent="0.25">
      <c r="B12" s="59"/>
      <c r="C12" s="684"/>
      <c r="D12" s="1466" t="s">
        <v>636</v>
      </c>
      <c r="E12" s="1467"/>
      <c r="F12" s="1467"/>
      <c r="G12" s="1468"/>
      <c r="H12" s="69"/>
      <c r="I12" s="54"/>
      <c r="J12" s="55"/>
      <c r="K12" s="48"/>
    </row>
    <row r="13" spans="1:23" ht="79.900000000000006" customHeight="1" x14ac:dyDescent="0.25">
      <c r="B13" s="59"/>
      <c r="C13" s="685"/>
      <c r="D13" s="1460" t="s">
        <v>836</v>
      </c>
      <c r="E13" s="1461"/>
      <c r="F13" s="1461"/>
      <c r="G13" s="1462"/>
      <c r="H13" s="69"/>
      <c r="I13" s="54"/>
      <c r="J13" s="55"/>
      <c r="K13" s="48"/>
    </row>
    <row r="14" spans="1:23" ht="40.15" customHeight="1" x14ac:dyDescent="0.25">
      <c r="B14" s="59"/>
      <c r="C14" s="1450" t="s">
        <v>609</v>
      </c>
      <c r="D14" s="1463" t="s">
        <v>1147</v>
      </c>
      <c r="E14" s="1464"/>
      <c r="F14" s="1464"/>
      <c r="G14" s="1465"/>
      <c r="H14" s="69"/>
      <c r="I14" s="54"/>
      <c r="J14" s="55"/>
      <c r="K14" s="48"/>
    </row>
    <row r="15" spans="1:23" ht="24" customHeight="1" x14ac:dyDescent="0.25">
      <c r="B15" s="59"/>
      <c r="C15" s="1469"/>
      <c r="D15" s="1431" t="s">
        <v>610</v>
      </c>
      <c r="E15" s="1432"/>
      <c r="F15" s="1432"/>
      <c r="G15" s="1470"/>
      <c r="H15" s="69"/>
      <c r="I15" s="54"/>
      <c r="J15" s="55"/>
      <c r="K15" s="48"/>
    </row>
    <row r="16" spans="1:23" ht="24" customHeight="1" x14ac:dyDescent="0.25">
      <c r="B16" s="59"/>
      <c r="C16" s="1469"/>
      <c r="D16" s="1471" t="s">
        <v>837</v>
      </c>
      <c r="E16" s="1472"/>
      <c r="F16" s="1472"/>
      <c r="G16" s="1473"/>
      <c r="H16" s="69"/>
      <c r="I16" s="54"/>
      <c r="J16" s="55"/>
      <c r="K16" s="48"/>
    </row>
    <row r="17" spans="2:21" ht="40.9" customHeight="1" x14ac:dyDescent="0.25">
      <c r="B17" s="59"/>
      <c r="C17" s="1469"/>
      <c r="D17" s="1474" t="s">
        <v>1156</v>
      </c>
      <c r="E17" s="1289"/>
      <c r="F17" s="1289"/>
      <c r="G17" s="1475"/>
      <c r="H17" s="69"/>
      <c r="I17" s="54"/>
      <c r="J17" s="55"/>
    </row>
    <row r="18" spans="2:21" ht="40.9" customHeight="1" x14ac:dyDescent="0.25">
      <c r="B18" s="59"/>
      <c r="C18" s="1451"/>
      <c r="D18" s="1476" t="s">
        <v>726</v>
      </c>
      <c r="E18" s="1477"/>
      <c r="F18" s="1477"/>
      <c r="G18" s="1478"/>
      <c r="H18" s="69"/>
      <c r="I18" s="54"/>
      <c r="J18" s="55"/>
    </row>
    <row r="19" spans="2:21" ht="24" customHeight="1" thickBot="1" x14ac:dyDescent="0.3">
      <c r="B19" s="59"/>
      <c r="C19" s="92"/>
      <c r="D19" s="92"/>
      <c r="E19" s="92"/>
      <c r="F19" s="92"/>
      <c r="G19" s="92"/>
      <c r="H19" s="69"/>
      <c r="I19" s="54"/>
      <c r="J19" s="55"/>
    </row>
    <row r="20" spans="2:21" ht="45.6" customHeight="1" thickBot="1" x14ac:dyDescent="0.3">
      <c r="B20" s="59"/>
      <c r="C20" s="298" t="s">
        <v>202</v>
      </c>
      <c r="D20" s="218"/>
      <c r="E20" s="219" t="s">
        <v>195</v>
      </c>
      <c r="F20" s="219" t="s">
        <v>157</v>
      </c>
      <c r="G20" s="220" t="s">
        <v>623</v>
      </c>
      <c r="H20" s="69"/>
      <c r="I20" s="54"/>
      <c r="J20" s="562" t="s">
        <v>608</v>
      </c>
      <c r="K20" s="1412" t="s">
        <v>614</v>
      </c>
      <c r="L20" s="1413"/>
      <c r="M20" s="88"/>
      <c r="O20" s="50"/>
    </row>
    <row r="21" spans="2:21" ht="70.150000000000006" customHeight="1" x14ac:dyDescent="0.25">
      <c r="B21" s="59"/>
      <c r="C21" s="291" t="s">
        <v>319</v>
      </c>
      <c r="D21" s="1235" t="s">
        <v>617</v>
      </c>
      <c r="E21" s="339" t="s">
        <v>288</v>
      </c>
      <c r="F21" s="1104"/>
      <c r="G21" s="1239" t="s">
        <v>482</v>
      </c>
      <c r="H21" s="69"/>
      <c r="I21" s="54"/>
      <c r="J21" s="1414" t="str">
        <f>IF(K20="","",VLOOKUP(K20,T21:U22,2,FALSE))</f>
        <v>A GEE_mobilidade disponibiliza uma calculadora (calculadora A) para estimar os fatores de emissão do transporte elétrico no separador "Cálculos adicionais_utilizador" (aceder através do "Índice" da GEE_mobilidade). Os dados necessários para este cálculo são os seguintes:  Fator de emissão da eletricidade (kgCO2e/ kWh); Consumo de electricidade (kWh/km) especifico do transporte e o Número médio de passageiros por autocarro. Os fatores de emissão resultantes (campos a verde)  devem ser introduzidos na coluna "Valor" a azul do respectivo tipo de transporte.</v>
      </c>
      <c r="K21" s="1415"/>
      <c r="L21" s="1416"/>
      <c r="M21" s="444"/>
      <c r="O21" s="1459"/>
      <c r="P21" s="1459"/>
      <c r="Q21" s="1459"/>
      <c r="R21" s="1459"/>
      <c r="T21" s="41" t="s">
        <v>614</v>
      </c>
      <c r="U21" s="46" t="s">
        <v>699</v>
      </c>
    </row>
    <row r="22" spans="2:21" ht="30" customHeight="1" x14ac:dyDescent="0.25">
      <c r="B22" s="59"/>
      <c r="C22" s="298" t="s">
        <v>1003</v>
      </c>
      <c r="D22" s="218"/>
      <c r="E22" s="219" t="s">
        <v>195</v>
      </c>
      <c r="F22" s="219" t="s">
        <v>157</v>
      </c>
      <c r="G22" s="220" t="s">
        <v>623</v>
      </c>
      <c r="H22" s="69"/>
      <c r="I22" s="54"/>
      <c r="J22" s="1417"/>
      <c r="K22" s="1418"/>
      <c r="L22" s="1419"/>
      <c r="M22" s="100"/>
      <c r="O22" s="254"/>
      <c r="P22" s="100"/>
      <c r="Q22" s="100"/>
      <c r="R22" s="100"/>
      <c r="T22" s="554" t="s">
        <v>693</v>
      </c>
      <c r="U22" s="41" t="s">
        <v>697</v>
      </c>
    </row>
    <row r="23" spans="2:21" ht="70.150000000000006" customHeight="1" thickBot="1" x14ac:dyDescent="0.3">
      <c r="B23" s="59"/>
      <c r="C23" s="293" t="s">
        <v>993</v>
      </c>
      <c r="D23" s="292" t="s">
        <v>616</v>
      </c>
      <c r="E23" s="1105" t="s">
        <v>146</v>
      </c>
      <c r="F23" s="1105"/>
      <c r="G23" s="1239" t="s">
        <v>482</v>
      </c>
      <c r="H23" s="69"/>
      <c r="I23" s="54"/>
      <c r="J23" s="1420"/>
      <c r="K23" s="1421"/>
      <c r="L23" s="1422"/>
      <c r="M23" s="88"/>
      <c r="O23" s="1449"/>
      <c r="P23" s="1449"/>
      <c r="Q23" s="1449"/>
      <c r="R23" s="1449"/>
    </row>
    <row r="24" spans="2:21" ht="70.150000000000006" customHeight="1" x14ac:dyDescent="0.25">
      <c r="B24" s="59"/>
      <c r="C24" s="293" t="s">
        <v>992</v>
      </c>
      <c r="D24" s="292" t="s">
        <v>616</v>
      </c>
      <c r="E24" s="1105" t="s">
        <v>146</v>
      </c>
      <c r="F24" s="1105"/>
      <c r="G24" s="1239" t="s">
        <v>482</v>
      </c>
      <c r="H24" s="69"/>
      <c r="I24" s="54"/>
      <c r="J24" s="291"/>
      <c r="K24" s="291"/>
      <c r="L24" s="291"/>
      <c r="M24" s="88"/>
      <c r="O24" s="1449"/>
      <c r="P24" s="1449"/>
      <c r="Q24" s="1449"/>
      <c r="R24" s="1449"/>
    </row>
    <row r="25" spans="2:21" ht="70.150000000000006" customHeight="1" x14ac:dyDescent="0.25">
      <c r="B25" s="59"/>
      <c r="C25" s="293" t="s">
        <v>1034</v>
      </c>
      <c r="D25" s="292" t="s">
        <v>616</v>
      </c>
      <c r="E25" s="1105" t="s">
        <v>146</v>
      </c>
      <c r="F25" s="1105"/>
      <c r="G25" s="1239" t="s">
        <v>482</v>
      </c>
      <c r="H25" s="69"/>
      <c r="I25" s="54"/>
      <c r="J25" s="291"/>
      <c r="K25" s="291"/>
      <c r="L25" s="291"/>
      <c r="M25" s="88"/>
      <c r="O25" s="1449"/>
      <c r="P25" s="1449"/>
      <c r="Q25" s="1449"/>
      <c r="R25" s="1449"/>
    </row>
    <row r="26" spans="2:21" ht="30" customHeight="1" x14ac:dyDescent="0.25">
      <c r="B26" s="59"/>
      <c r="C26" s="298" t="s">
        <v>1033</v>
      </c>
      <c r="D26" s="218"/>
      <c r="E26" s="219" t="s">
        <v>195</v>
      </c>
      <c r="F26" s="219" t="s">
        <v>157</v>
      </c>
      <c r="G26" s="220" t="s">
        <v>623</v>
      </c>
      <c r="H26" s="69"/>
      <c r="I26" s="54"/>
      <c r="J26" s="565"/>
      <c r="K26" s="566"/>
      <c r="L26" s="445"/>
      <c r="M26" s="444"/>
      <c r="O26" s="1449"/>
      <c r="P26" s="1449"/>
      <c r="Q26" s="1449"/>
      <c r="R26" s="1449"/>
    </row>
    <row r="27" spans="2:21" ht="70.150000000000006" customHeight="1" x14ac:dyDescent="0.25">
      <c r="B27" s="59"/>
      <c r="C27" s="293" t="s">
        <v>991</v>
      </c>
      <c r="D27" s="292" t="s">
        <v>616</v>
      </c>
      <c r="E27" s="1105" t="s">
        <v>146</v>
      </c>
      <c r="F27" s="1105"/>
      <c r="G27" s="1239" t="s">
        <v>482</v>
      </c>
      <c r="H27" s="69"/>
      <c r="I27" s="54"/>
      <c r="J27" s="1418"/>
      <c r="K27" s="1418"/>
      <c r="L27" s="1449"/>
      <c r="M27" s="445"/>
      <c r="O27" s="255"/>
      <c r="P27" s="256"/>
      <c r="Q27" s="256"/>
      <c r="R27" s="256"/>
    </row>
    <row r="28" spans="2:21" ht="70.150000000000006" customHeight="1" x14ac:dyDescent="0.25">
      <c r="B28" s="59"/>
      <c r="C28" s="293" t="s">
        <v>990</v>
      </c>
      <c r="D28" s="292" t="s">
        <v>616</v>
      </c>
      <c r="E28" s="1105" t="s">
        <v>146</v>
      </c>
      <c r="F28" s="1105"/>
      <c r="G28" s="1239" t="s">
        <v>482</v>
      </c>
      <c r="H28" s="69"/>
      <c r="I28" s="54"/>
      <c r="J28" s="1418"/>
      <c r="K28" s="1418"/>
      <c r="L28" s="1449"/>
      <c r="M28" s="445"/>
      <c r="O28" s="255"/>
      <c r="P28" s="256"/>
      <c r="Q28" s="256"/>
      <c r="R28" s="256"/>
    </row>
    <row r="29" spans="2:21" ht="70.150000000000006" customHeight="1" x14ac:dyDescent="0.25">
      <c r="B29" s="59"/>
      <c r="C29" s="291" t="s">
        <v>989</v>
      </c>
      <c r="D29" s="309" t="s">
        <v>616</v>
      </c>
      <c r="E29" s="1262" t="s">
        <v>146</v>
      </c>
      <c r="F29" s="1105"/>
      <c r="G29" s="1239" t="s">
        <v>482</v>
      </c>
      <c r="H29" s="69"/>
      <c r="I29" s="54"/>
      <c r="J29" s="1418"/>
      <c r="K29" s="1418"/>
      <c r="L29" s="1449"/>
      <c r="M29" s="445"/>
      <c r="O29" s="255"/>
      <c r="P29" s="256"/>
      <c r="Q29" s="256"/>
      <c r="R29" s="256"/>
    </row>
    <row r="30" spans="2:21" ht="30" customHeight="1" x14ac:dyDescent="0.25">
      <c r="B30" s="59"/>
      <c r="C30" s="298" t="s">
        <v>985</v>
      </c>
      <c r="D30" s="218"/>
      <c r="E30" s="219" t="s">
        <v>195</v>
      </c>
      <c r="F30" s="219" t="s">
        <v>157</v>
      </c>
      <c r="G30" s="220" t="s">
        <v>623</v>
      </c>
      <c r="H30" s="69"/>
      <c r="J30" s="1418"/>
      <c r="K30" s="1418"/>
      <c r="L30" s="1449"/>
      <c r="M30" s="307"/>
    </row>
    <row r="31" spans="2:21" ht="60" customHeight="1" x14ac:dyDescent="0.25">
      <c r="B31" s="59"/>
      <c r="C31" s="293" t="s">
        <v>988</v>
      </c>
      <c r="D31" s="292" t="s">
        <v>616</v>
      </c>
      <c r="E31" s="339" t="s">
        <v>442</v>
      </c>
      <c r="F31" s="1236"/>
      <c r="G31" s="1239" t="s">
        <v>482</v>
      </c>
      <c r="H31" s="69"/>
      <c r="J31" s="1387"/>
      <c r="K31" s="1387"/>
      <c r="L31" s="256"/>
      <c r="M31" s="394"/>
    </row>
    <row r="32" spans="2:21" ht="70.150000000000006" customHeight="1" x14ac:dyDescent="0.25">
      <c r="B32" s="59"/>
      <c r="C32" s="293" t="s">
        <v>1012</v>
      </c>
      <c r="D32" s="309" t="s">
        <v>616</v>
      </c>
      <c r="E32" s="339" t="s">
        <v>442</v>
      </c>
      <c r="F32" s="1105"/>
      <c r="G32" s="1239" t="s">
        <v>482</v>
      </c>
      <c r="H32" s="69"/>
      <c r="I32" s="54"/>
      <c r="J32" s="705"/>
      <c r="K32" s="705"/>
      <c r="L32" s="55"/>
    </row>
    <row r="33" spans="1:13" ht="19.899999999999999" customHeight="1" x14ac:dyDescent="0.25">
      <c r="B33" s="59"/>
      <c r="C33" s="87"/>
      <c r="D33" s="88"/>
      <c r="E33" s="88"/>
      <c r="F33" s="88"/>
      <c r="G33" s="88"/>
      <c r="H33" s="69"/>
      <c r="I33" s="54"/>
    </row>
    <row r="34" spans="1:13" ht="24" customHeight="1" x14ac:dyDescent="0.25">
      <c r="B34" s="59"/>
      <c r="C34" s="116" t="s">
        <v>490</v>
      </c>
      <c r="D34" s="115"/>
      <c r="E34" s="115"/>
      <c r="F34" s="115"/>
      <c r="G34" s="115"/>
      <c r="H34" s="69"/>
      <c r="I34" s="54"/>
      <c r="J34" s="255"/>
      <c r="K34" s="256"/>
      <c r="L34" s="256"/>
      <c r="M34" s="256"/>
    </row>
    <row r="35" spans="1:13" ht="24" customHeight="1" x14ac:dyDescent="0.25">
      <c r="B35" s="59"/>
      <c r="C35" s="92"/>
      <c r="D35" s="92"/>
      <c r="E35" s="92"/>
      <c r="F35" s="92"/>
      <c r="G35" s="92"/>
      <c r="H35" s="69"/>
      <c r="I35" s="54"/>
    </row>
    <row r="36" spans="1:13" ht="24" customHeight="1" x14ac:dyDescent="0.25">
      <c r="B36" s="59"/>
      <c r="C36" s="1446" t="s">
        <v>634</v>
      </c>
      <c r="D36" s="1447"/>
      <c r="E36" s="1447"/>
      <c r="F36" s="1447"/>
      <c r="G36" s="1447"/>
      <c r="H36" s="69"/>
      <c r="I36" s="54"/>
    </row>
    <row r="37" spans="1:13" ht="27.6" customHeight="1" x14ac:dyDescent="0.25">
      <c r="B37" s="59"/>
      <c r="C37" s="1450" t="s">
        <v>621</v>
      </c>
      <c r="D37" s="1410" t="s">
        <v>863</v>
      </c>
      <c r="E37" s="1410"/>
      <c r="F37" s="1410"/>
      <c r="G37" s="1410"/>
      <c r="H37" s="69"/>
      <c r="I37" s="54"/>
      <c r="J37" s="55"/>
      <c r="K37" s="48"/>
    </row>
    <row r="38" spans="1:13" ht="60" customHeight="1" x14ac:dyDescent="0.25">
      <c r="B38" s="59"/>
      <c r="C38" s="1469"/>
      <c r="D38" s="1437" t="s">
        <v>1349</v>
      </c>
      <c r="E38" s="1438"/>
      <c r="F38" s="1438"/>
      <c r="G38" s="1439"/>
      <c r="H38" s="69"/>
      <c r="I38" s="54"/>
      <c r="J38" s="55"/>
      <c r="K38" s="48"/>
    </row>
    <row r="39" spans="1:13" ht="36.6" customHeight="1" x14ac:dyDescent="0.25">
      <c r="B39" s="59"/>
      <c r="C39" s="1469"/>
      <c r="D39" s="1437" t="s">
        <v>995</v>
      </c>
      <c r="E39" s="1438"/>
      <c r="F39" s="1438"/>
      <c r="G39" s="1439"/>
      <c r="H39" s="69"/>
      <c r="I39" s="54"/>
      <c r="J39" s="55"/>
      <c r="K39" s="48"/>
    </row>
    <row r="40" spans="1:13" ht="19.899999999999999" customHeight="1" x14ac:dyDescent="0.25">
      <c r="B40" s="59"/>
      <c r="C40" s="1451"/>
      <c r="D40" s="1437" t="s">
        <v>1173</v>
      </c>
      <c r="E40" s="1438"/>
      <c r="F40" s="1438"/>
      <c r="G40" s="1439"/>
      <c r="H40" s="69"/>
      <c r="I40" s="54"/>
      <c r="J40" s="55"/>
      <c r="K40" s="48"/>
    </row>
    <row r="41" spans="1:13" ht="117.6" customHeight="1" x14ac:dyDescent="0.25">
      <c r="B41" s="59"/>
      <c r="C41" s="684" t="s">
        <v>1176</v>
      </c>
      <c r="D41" s="1437" t="s">
        <v>1352</v>
      </c>
      <c r="E41" s="1438"/>
      <c r="F41" s="1438"/>
      <c r="G41" s="1439"/>
      <c r="H41" s="69"/>
      <c r="I41" s="54"/>
      <c r="J41" s="55"/>
      <c r="K41" s="48"/>
    </row>
    <row r="42" spans="1:13" ht="56.45" customHeight="1" x14ac:dyDescent="0.25">
      <c r="B42" s="59"/>
      <c r="C42" s="684"/>
      <c r="D42" s="1437" t="s">
        <v>1174</v>
      </c>
      <c r="E42" s="1438"/>
      <c r="F42" s="1438"/>
      <c r="G42" s="1439"/>
      <c r="H42" s="69"/>
      <c r="I42" s="54"/>
      <c r="J42" s="55"/>
      <c r="K42" s="48"/>
    </row>
    <row r="43" spans="1:13" ht="18" customHeight="1" x14ac:dyDescent="0.25">
      <c r="B43" s="59"/>
      <c r="C43" s="1450" t="s">
        <v>620</v>
      </c>
      <c r="D43" s="1428" t="s">
        <v>996</v>
      </c>
      <c r="E43" s="1429"/>
      <c r="F43" s="1429"/>
      <c r="G43" s="1479"/>
      <c r="H43" s="69"/>
      <c r="I43" s="54"/>
      <c r="J43" s="55"/>
      <c r="K43" s="48"/>
    </row>
    <row r="44" spans="1:13" ht="18" customHeight="1" x14ac:dyDescent="0.25">
      <c r="B44" s="59"/>
      <c r="C44" s="1469"/>
      <c r="D44" s="1428" t="s">
        <v>994</v>
      </c>
      <c r="E44" s="1429"/>
      <c r="F44" s="1429"/>
      <c r="G44" s="1479"/>
      <c r="H44" s="69"/>
      <c r="I44" s="54"/>
      <c r="J44" s="55"/>
      <c r="K44" s="48"/>
    </row>
    <row r="45" spans="1:13" ht="18.75" x14ac:dyDescent="0.25">
      <c r="B45" s="59"/>
      <c r="C45" s="1451"/>
      <c r="D45" s="570" t="s">
        <v>111</v>
      </c>
      <c r="E45" s="1452" t="s">
        <v>619</v>
      </c>
      <c r="F45" s="1452"/>
      <c r="G45" s="1453"/>
      <c r="H45" s="69"/>
      <c r="I45" s="54"/>
      <c r="J45" s="55"/>
      <c r="K45" s="48"/>
    </row>
    <row r="46" spans="1:13" ht="24" customHeight="1" x14ac:dyDescent="0.25">
      <c r="B46" s="59"/>
      <c r="C46" s="92"/>
      <c r="D46" s="92"/>
      <c r="E46" s="92"/>
      <c r="F46" s="92"/>
      <c r="G46" s="92"/>
      <c r="H46" s="69"/>
      <c r="I46" s="54"/>
      <c r="J46" s="55"/>
      <c r="K46" s="48"/>
    </row>
    <row r="47" spans="1:13" ht="45" customHeight="1" x14ac:dyDescent="0.25">
      <c r="B47" s="59"/>
      <c r="C47" s="818" t="s">
        <v>1009</v>
      </c>
      <c r="D47" s="573" t="s">
        <v>3</v>
      </c>
      <c r="E47" s="572" t="s">
        <v>797</v>
      </c>
      <c r="F47" s="1444" t="s">
        <v>126</v>
      </c>
      <c r="G47" s="1445"/>
      <c r="H47" s="69"/>
      <c r="I47" s="54"/>
      <c r="J47" s="55"/>
      <c r="K47" s="48"/>
    </row>
    <row r="48" spans="1:13" ht="60" customHeight="1" x14ac:dyDescent="0.25">
      <c r="A48" s="50"/>
      <c r="B48" s="59"/>
      <c r="C48" s="294" t="s">
        <v>503</v>
      </c>
      <c r="D48" s="309" t="s">
        <v>119</v>
      </c>
      <c r="E48" s="1107"/>
      <c r="F48" s="1544" t="s">
        <v>160</v>
      </c>
      <c r="G48" s="1545"/>
      <c r="H48" s="69"/>
      <c r="I48" s="54"/>
      <c r="J48" s="55"/>
      <c r="K48" s="64"/>
    </row>
    <row r="49" spans="1:13" ht="30" customHeight="1" x14ac:dyDescent="0.25">
      <c r="B49" s="59"/>
      <c r="C49" s="575" t="s">
        <v>1010</v>
      </c>
      <c r="D49" s="573" t="s">
        <v>3</v>
      </c>
      <c r="E49" s="572" t="s">
        <v>797</v>
      </c>
      <c r="F49" s="1444" t="s">
        <v>126</v>
      </c>
      <c r="G49" s="1445"/>
      <c r="H49" s="69"/>
      <c r="I49" s="54"/>
      <c r="J49" s="55"/>
      <c r="K49" s="64"/>
    </row>
    <row r="50" spans="1:13" ht="79.900000000000006" customHeight="1" x14ac:dyDescent="0.25">
      <c r="A50" t="s">
        <v>112</v>
      </c>
      <c r="B50" s="59"/>
      <c r="C50" s="293" t="s">
        <v>982</v>
      </c>
      <c r="D50" s="292" t="s">
        <v>842</v>
      </c>
      <c r="E50" s="1107"/>
      <c r="F50" s="1494" t="s">
        <v>160</v>
      </c>
      <c r="G50" s="1495"/>
      <c r="H50" s="69"/>
      <c r="I50" s="54"/>
      <c r="J50" s="54"/>
      <c r="K50" s="54"/>
      <c r="L50" s="54"/>
      <c r="M50" s="50"/>
    </row>
    <row r="51" spans="1:13" ht="30" customHeight="1" x14ac:dyDescent="0.25">
      <c r="B51" s="59"/>
      <c r="C51" s="575" t="s">
        <v>1023</v>
      </c>
      <c r="D51" s="573" t="s">
        <v>3</v>
      </c>
      <c r="E51" s="572" t="s">
        <v>797</v>
      </c>
      <c r="F51" s="1444" t="s">
        <v>126</v>
      </c>
      <c r="G51" s="1445"/>
      <c r="H51" s="69"/>
      <c r="I51" s="54"/>
      <c r="J51" s="54"/>
      <c r="K51" s="54"/>
      <c r="L51" s="54"/>
      <c r="M51" s="50"/>
    </row>
    <row r="52" spans="1:13" ht="60" customHeight="1" x14ac:dyDescent="0.25">
      <c r="B52" s="59"/>
      <c r="C52" s="293" t="s">
        <v>983</v>
      </c>
      <c r="D52" s="292" t="s">
        <v>842</v>
      </c>
      <c r="E52" s="1107"/>
      <c r="F52" s="1494" t="s">
        <v>160</v>
      </c>
      <c r="G52" s="1495"/>
      <c r="H52" s="69"/>
      <c r="I52" s="54"/>
      <c r="J52" s="54"/>
      <c r="K52" s="54"/>
      <c r="L52" s="54"/>
      <c r="M52" s="50"/>
    </row>
    <row r="53" spans="1:13" ht="30" customHeight="1" x14ac:dyDescent="0.25">
      <c r="B53" s="59"/>
      <c r="C53" s="1509" t="s">
        <v>1175</v>
      </c>
      <c r="D53" s="1509"/>
      <c r="E53" s="1509"/>
      <c r="F53" s="1444"/>
      <c r="G53" s="1445"/>
      <c r="H53" s="69"/>
      <c r="I53" s="54"/>
      <c r="J53" s="54"/>
      <c r="K53" s="54"/>
      <c r="L53" s="54"/>
    </row>
    <row r="54" spans="1:13" ht="49.9" customHeight="1" x14ac:dyDescent="0.25">
      <c r="B54" s="59"/>
      <c r="C54" s="1485" t="s">
        <v>1022</v>
      </c>
      <c r="D54" s="1486"/>
      <c r="E54" s="1107" t="s">
        <v>146</v>
      </c>
      <c r="F54" s="1540" t="str">
        <f>IF(F31&gt;0,"! Selecionar Opção I- % tipologia automóvel (utilizador) ",IF(E54=FAListas!C63,"Seguir para o ponto 2. Dados relativos às transferências modais",""))</f>
        <v/>
      </c>
      <c r="G54" s="1541"/>
      <c r="H54" s="69"/>
      <c r="I54" s="54"/>
      <c r="J54" s="54"/>
      <c r="K54" s="54"/>
      <c r="L54" s="54"/>
    </row>
    <row r="55" spans="1:13" ht="43.9" customHeight="1" x14ac:dyDescent="0.25">
      <c r="B55" s="59"/>
      <c r="C55" s="821" t="s">
        <v>1011</v>
      </c>
      <c r="D55" s="822" t="s">
        <v>3</v>
      </c>
      <c r="E55" s="823" t="s">
        <v>86</v>
      </c>
      <c r="F55" s="1542" t="s">
        <v>126</v>
      </c>
      <c r="G55" s="1543"/>
      <c r="H55" s="69"/>
      <c r="I55" s="54"/>
      <c r="J55" s="54"/>
      <c r="K55" s="54"/>
      <c r="L55" s="54"/>
    </row>
    <row r="56" spans="1:13" ht="60" customHeight="1" x14ac:dyDescent="0.25">
      <c r="B56" s="59"/>
      <c r="C56" s="819" t="s">
        <v>1036</v>
      </c>
      <c r="D56" s="820" t="s">
        <v>77</v>
      </c>
      <c r="E56" s="1114"/>
      <c r="F56" s="1539" t="s">
        <v>160</v>
      </c>
      <c r="G56" s="1539"/>
      <c r="H56" s="69"/>
      <c r="I56" s="54"/>
      <c r="J56" s="54"/>
      <c r="K56" s="54"/>
      <c r="L56" s="54"/>
    </row>
    <row r="57" spans="1:13" ht="60" customHeight="1" x14ac:dyDescent="0.25">
      <c r="B57" s="59"/>
      <c r="C57" s="819" t="s">
        <v>984</v>
      </c>
      <c r="D57" s="820" t="s">
        <v>77</v>
      </c>
      <c r="E57" s="1114"/>
      <c r="F57" s="1539" t="s">
        <v>160</v>
      </c>
      <c r="G57" s="1539"/>
      <c r="H57" s="69"/>
      <c r="I57" s="54"/>
      <c r="J57" s="54"/>
      <c r="K57" s="54"/>
      <c r="L57" s="54"/>
    </row>
    <row r="58" spans="1:13" ht="60" customHeight="1" x14ac:dyDescent="0.25">
      <c r="B58" s="59"/>
      <c r="C58" s="819" t="s">
        <v>986</v>
      </c>
      <c r="D58" s="820" t="s">
        <v>77</v>
      </c>
      <c r="E58" s="1114"/>
      <c r="F58" s="1539" t="s">
        <v>160</v>
      </c>
      <c r="G58" s="1539"/>
      <c r="H58" s="69"/>
      <c r="I58" s="54"/>
      <c r="J58" s="54"/>
      <c r="K58" s="54"/>
      <c r="L58" s="54"/>
    </row>
    <row r="59" spans="1:13" ht="60" customHeight="1" x14ac:dyDescent="0.25">
      <c r="B59" s="59"/>
      <c r="C59" s="819" t="s">
        <v>1004</v>
      </c>
      <c r="D59" s="820" t="s">
        <v>77</v>
      </c>
      <c r="E59" s="1114"/>
      <c r="F59" s="1539" t="s">
        <v>160</v>
      </c>
      <c r="G59" s="1539"/>
      <c r="H59" s="69"/>
      <c r="I59" s="54"/>
      <c r="J59" s="54"/>
      <c r="K59" s="54"/>
      <c r="L59" s="54"/>
    </row>
    <row r="60" spans="1:13" ht="60" customHeight="1" x14ac:dyDescent="0.25">
      <c r="B60" s="59"/>
      <c r="C60" s="819" t="s">
        <v>987</v>
      </c>
      <c r="D60" s="820" t="s">
        <v>77</v>
      </c>
      <c r="E60" s="1114"/>
      <c r="F60" s="1539" t="s">
        <v>160</v>
      </c>
      <c r="G60" s="1539"/>
      <c r="H60" s="69"/>
      <c r="I60" s="54"/>
      <c r="J60" s="54"/>
      <c r="K60" s="54"/>
      <c r="L60" s="54"/>
    </row>
    <row r="61" spans="1:13" ht="60" customHeight="1" x14ac:dyDescent="0.25">
      <c r="B61" s="59"/>
      <c r="C61" s="819" t="s">
        <v>1005</v>
      </c>
      <c r="D61" s="820" t="s">
        <v>77</v>
      </c>
      <c r="E61" s="1114"/>
      <c r="F61" s="1539" t="s">
        <v>160</v>
      </c>
      <c r="G61" s="1539"/>
      <c r="H61" s="69"/>
      <c r="I61" s="54"/>
      <c r="J61" s="54"/>
      <c r="K61" s="54"/>
      <c r="L61" s="54"/>
    </row>
    <row r="62" spans="1:13" ht="60" customHeight="1" x14ac:dyDescent="0.25">
      <c r="B62" s="59"/>
      <c r="C62" s="819" t="s">
        <v>985</v>
      </c>
      <c r="D62" s="820" t="s">
        <v>77</v>
      </c>
      <c r="E62" s="1114"/>
      <c r="F62" s="1539" t="s">
        <v>160</v>
      </c>
      <c r="G62" s="1539"/>
      <c r="H62" s="69"/>
      <c r="I62" s="54"/>
      <c r="J62" s="54"/>
      <c r="K62" s="54"/>
      <c r="L62" s="54"/>
    </row>
    <row r="63" spans="1:13" ht="19.899999999999999" hidden="1" customHeight="1" x14ac:dyDescent="0.25">
      <c r="B63" s="59"/>
      <c r="C63" s="215" t="s">
        <v>323</v>
      </c>
      <c r="D63" s="206" t="s">
        <v>155</v>
      </c>
      <c r="E63" s="221" t="s">
        <v>147</v>
      </c>
      <c r="F63" s="135" t="s">
        <v>146</v>
      </c>
      <c r="G63" s="105"/>
      <c r="H63" s="69"/>
      <c r="I63" s="54"/>
      <c r="J63" s="54"/>
      <c r="K63" s="54"/>
      <c r="L63" s="54"/>
    </row>
    <row r="64" spans="1:13" ht="15" customHeight="1" x14ac:dyDescent="0.25">
      <c r="B64" s="61"/>
      <c r="C64" s="75"/>
      <c r="D64" s="76"/>
      <c r="E64" s="76"/>
      <c r="F64" s="76"/>
      <c r="G64" s="76"/>
      <c r="H64" s="70"/>
      <c r="I64" s="54"/>
      <c r="J64" s="54"/>
      <c r="K64" s="54"/>
      <c r="L64" s="54"/>
    </row>
    <row r="65" spans="2:13" ht="34.9" customHeight="1" x14ac:dyDescent="0.25">
      <c r="C65" s="64"/>
      <c r="D65" s="54"/>
      <c r="E65" s="54"/>
      <c r="F65" s="54"/>
      <c r="G65" s="54"/>
      <c r="H65" s="54"/>
      <c r="I65" s="54"/>
      <c r="J65" s="54"/>
      <c r="K65" s="54"/>
      <c r="L65" s="54"/>
    </row>
    <row r="70" spans="2:13" ht="40.15" customHeight="1" x14ac:dyDescent="0.25">
      <c r="B70" s="66"/>
      <c r="C70" s="66" t="s">
        <v>492</v>
      </c>
      <c r="D70" s="57"/>
      <c r="E70" s="57"/>
      <c r="F70" s="57"/>
      <c r="G70" s="57"/>
      <c r="H70" s="58"/>
      <c r="I70" s="56"/>
      <c r="J70" s="56"/>
    </row>
    <row r="71" spans="2:13" ht="14.45" customHeight="1" x14ac:dyDescent="0.25">
      <c r="B71" s="59"/>
      <c r="H71" s="60"/>
      <c r="I71" s="65"/>
      <c r="J71" s="65"/>
    </row>
    <row r="72" spans="2:13" ht="14.45" customHeight="1" x14ac:dyDescent="0.25">
      <c r="B72" s="59"/>
      <c r="H72" s="60"/>
      <c r="I72" s="65"/>
      <c r="J72" s="65"/>
    </row>
    <row r="73" spans="2:13" ht="24" customHeight="1" x14ac:dyDescent="0.25">
      <c r="B73" s="59"/>
      <c r="C73" s="1411" t="s">
        <v>1043</v>
      </c>
      <c r="D73" s="1407"/>
      <c r="E73" s="1407"/>
      <c r="F73" s="1407"/>
      <c r="G73" s="115"/>
      <c r="H73" s="60"/>
      <c r="I73" s="65"/>
      <c r="J73" s="65"/>
    </row>
    <row r="74" spans="2:13" ht="24" customHeight="1" x14ac:dyDescent="0.25">
      <c r="B74" s="59"/>
      <c r="C74" s="92"/>
      <c r="D74" s="92"/>
      <c r="E74" s="92"/>
      <c r="F74" s="92"/>
      <c r="G74" s="92"/>
      <c r="H74" s="60"/>
      <c r="I74" s="65"/>
      <c r="J74" s="65"/>
    </row>
    <row r="75" spans="2:13" ht="24" customHeight="1" x14ac:dyDescent="0.25">
      <c r="B75" s="59"/>
      <c r="C75" s="1425" t="s">
        <v>634</v>
      </c>
      <c r="D75" s="1426"/>
      <c r="E75" s="1426"/>
      <c r="F75" s="1426"/>
      <c r="G75" s="1427"/>
      <c r="H75" s="60"/>
      <c r="I75" s="65"/>
      <c r="J75" s="65"/>
    </row>
    <row r="76" spans="2:13" ht="40.15" customHeight="1" x14ac:dyDescent="0.25">
      <c r="B76" s="59"/>
      <c r="C76" s="703" t="s">
        <v>641</v>
      </c>
      <c r="D76" s="1410" t="s">
        <v>1219</v>
      </c>
      <c r="E76" s="1410"/>
      <c r="F76" s="1410"/>
      <c r="G76" s="1410"/>
      <c r="H76" s="60"/>
      <c r="I76" s="65"/>
      <c r="J76" s="1530"/>
      <c r="K76" s="1530"/>
      <c r="L76" s="1530"/>
      <c r="M76" s="1530"/>
    </row>
    <row r="77" spans="2:13" ht="19.899999999999999" customHeight="1" x14ac:dyDescent="0.25">
      <c r="B77" s="59"/>
      <c r="C77" s="703" t="s">
        <v>676</v>
      </c>
      <c r="D77" s="1437" t="s">
        <v>1229</v>
      </c>
      <c r="E77" s="1438"/>
      <c r="F77" s="1438"/>
      <c r="G77" s="1440"/>
      <c r="H77" s="60"/>
      <c r="I77" s="65"/>
      <c r="J77" s="65"/>
    </row>
    <row r="78" spans="2:13" ht="80.45" customHeight="1" x14ac:dyDescent="0.25">
      <c r="B78" s="59"/>
      <c r="C78" s="704" t="s">
        <v>642</v>
      </c>
      <c r="D78" s="1526" t="s">
        <v>1177</v>
      </c>
      <c r="E78" s="1527"/>
      <c r="F78" s="1527"/>
      <c r="G78" s="1528"/>
      <c r="H78" s="60"/>
      <c r="I78" s="65"/>
      <c r="J78" s="65"/>
    </row>
    <row r="79" spans="2:13" ht="15.6" customHeight="1" x14ac:dyDescent="0.25">
      <c r="B79" s="59"/>
      <c r="C79" s="92"/>
      <c r="D79" s="707"/>
      <c r="E79" s="92"/>
      <c r="F79" s="92"/>
      <c r="G79" s="92"/>
      <c r="H79" s="60"/>
      <c r="I79" s="65"/>
      <c r="J79" s="65"/>
    </row>
    <row r="80" spans="2:13" ht="40.15" customHeight="1" x14ac:dyDescent="0.3">
      <c r="B80" s="59"/>
      <c r="C80" s="298" t="s">
        <v>156</v>
      </c>
      <c r="D80" s="574" t="s">
        <v>3</v>
      </c>
      <c r="E80" s="572" t="s">
        <v>751</v>
      </c>
      <c r="F80" s="1423" t="s">
        <v>640</v>
      </c>
      <c r="G80" s="1424"/>
      <c r="H80" s="68"/>
      <c r="I80" s="53"/>
      <c r="J80" s="94"/>
      <c r="K80" s="93"/>
    </row>
    <row r="81" spans="2:13" ht="45" customHeight="1" x14ac:dyDescent="0.3">
      <c r="B81" s="59"/>
      <c r="C81" s="395"/>
      <c r="D81" s="574"/>
      <c r="E81" s="580" t="str">
        <f>IFERROR(IF(SUM(E82:E89)=0, "",IF(SUM(E82:E89)&gt;100, "  A soma das TM é superior a 100%. Por favor, reveja.", IF(SUM(E82:E89)&lt;100, " A soma das TM é inferior a 100%. Por favor, reveja.", ""))),"")</f>
        <v/>
      </c>
      <c r="F81" s="300"/>
      <c r="G81" s="300"/>
      <c r="H81" s="68"/>
      <c r="I81" s="53"/>
      <c r="J81" s="94"/>
      <c r="K81" s="93"/>
    </row>
    <row r="82" spans="2:13" ht="60" customHeight="1" x14ac:dyDescent="0.25">
      <c r="B82" s="59"/>
      <c r="C82" s="293" t="s">
        <v>997</v>
      </c>
      <c r="D82" s="292" t="s">
        <v>77</v>
      </c>
      <c r="E82" s="1110"/>
      <c r="F82" s="1408" t="s">
        <v>160</v>
      </c>
      <c r="G82" s="1409"/>
      <c r="H82" s="69"/>
      <c r="I82" s="54"/>
      <c r="K82" s="90"/>
    </row>
    <row r="83" spans="2:13" ht="60" customHeight="1" x14ac:dyDescent="0.4">
      <c r="B83" s="59"/>
      <c r="C83" s="293" t="s">
        <v>998</v>
      </c>
      <c r="D83" s="292" t="s">
        <v>77</v>
      </c>
      <c r="E83" s="1110"/>
      <c r="F83" s="1408" t="s">
        <v>160</v>
      </c>
      <c r="G83" s="1409"/>
      <c r="H83" s="69"/>
      <c r="I83" s="54"/>
      <c r="J83" s="90"/>
      <c r="K83" s="90"/>
      <c r="M83" s="91"/>
    </row>
    <row r="84" spans="2:13" ht="60" customHeight="1" x14ac:dyDescent="0.25">
      <c r="B84" s="59"/>
      <c r="C84" s="293" t="s">
        <v>999</v>
      </c>
      <c r="D84" s="292" t="s">
        <v>77</v>
      </c>
      <c r="E84" s="1110"/>
      <c r="F84" s="1408" t="s">
        <v>160</v>
      </c>
      <c r="G84" s="1409"/>
      <c r="H84" s="69"/>
      <c r="I84" s="54"/>
      <c r="J84" s="90"/>
      <c r="K84" s="90"/>
    </row>
    <row r="85" spans="2:13" ht="60" customHeight="1" x14ac:dyDescent="0.25">
      <c r="B85" s="59"/>
      <c r="C85" s="293" t="s">
        <v>1000</v>
      </c>
      <c r="D85" s="292" t="s">
        <v>77</v>
      </c>
      <c r="E85" s="1110"/>
      <c r="F85" s="1408" t="s">
        <v>160</v>
      </c>
      <c r="G85" s="1409"/>
      <c r="H85" s="69"/>
      <c r="I85" s="54"/>
      <c r="J85" s="90"/>
      <c r="K85" s="90"/>
    </row>
    <row r="86" spans="2:13" ht="60" customHeight="1" x14ac:dyDescent="0.25">
      <c r="B86" s="59"/>
      <c r="C86" s="293" t="s">
        <v>1047</v>
      </c>
      <c r="D86" s="292" t="s">
        <v>77</v>
      </c>
      <c r="E86" s="1110"/>
      <c r="F86" s="1408" t="s">
        <v>160</v>
      </c>
      <c r="G86" s="1409"/>
      <c r="H86" s="69"/>
      <c r="I86" s="54"/>
      <c r="J86" s="90"/>
      <c r="K86" s="90"/>
    </row>
    <row r="87" spans="2:13" ht="60" customHeight="1" x14ac:dyDescent="0.25">
      <c r="B87" s="59"/>
      <c r="C87" s="293" t="s">
        <v>1001</v>
      </c>
      <c r="D87" s="292" t="s">
        <v>77</v>
      </c>
      <c r="E87" s="1110"/>
      <c r="F87" s="1408" t="s">
        <v>160</v>
      </c>
      <c r="G87" s="1409"/>
      <c r="H87" s="69"/>
      <c r="I87" s="54"/>
      <c r="J87" s="90"/>
      <c r="K87" s="90"/>
    </row>
    <row r="88" spans="2:13" ht="60" customHeight="1" x14ac:dyDescent="0.25">
      <c r="B88" s="59"/>
      <c r="C88" s="293" t="s">
        <v>1002</v>
      </c>
      <c r="D88" s="292" t="s">
        <v>77</v>
      </c>
      <c r="E88" s="1110"/>
      <c r="F88" s="1408" t="s">
        <v>160</v>
      </c>
      <c r="G88" s="1409"/>
      <c r="H88" s="69"/>
      <c r="I88" s="54"/>
      <c r="J88" s="90"/>
      <c r="K88" s="90"/>
    </row>
    <row r="89" spans="2:13" ht="60" customHeight="1" x14ac:dyDescent="0.25">
      <c r="B89" s="59"/>
      <c r="C89" s="293" t="s">
        <v>1021</v>
      </c>
      <c r="D89" s="292" t="s">
        <v>77</v>
      </c>
      <c r="E89" s="1110"/>
      <c r="F89" s="1408" t="s">
        <v>160</v>
      </c>
      <c r="G89" s="1409"/>
      <c r="H89" s="69"/>
      <c r="I89" s="54"/>
      <c r="J89" s="90"/>
      <c r="K89" s="90"/>
    </row>
    <row r="90" spans="2:13" ht="40.15" customHeight="1" x14ac:dyDescent="0.25">
      <c r="B90" s="59"/>
      <c r="C90" s="298" t="s">
        <v>1019</v>
      </c>
      <c r="D90" s="574" t="s">
        <v>3</v>
      </c>
      <c r="E90" s="572" t="s">
        <v>751</v>
      </c>
      <c r="F90" s="1423" t="s">
        <v>640</v>
      </c>
      <c r="G90" s="1424"/>
      <c r="H90" s="69"/>
      <c r="I90" s="54"/>
      <c r="J90" s="90"/>
      <c r="K90" s="90"/>
    </row>
    <row r="91" spans="2:13" ht="45" customHeight="1" x14ac:dyDescent="0.25">
      <c r="B91" s="59"/>
      <c r="C91" s="395"/>
      <c r="D91" s="574"/>
      <c r="E91" s="580" t="str">
        <f>IFERROR(IF(SUM(E92:E99)=0, "",IF(SUM(E92:E99)&gt;100, "  A soma das TM é superior a 100%. Por favor, reveja.", IF(SUM(E92:E99)&lt;100, " A soma das TM é inferior a 100%. Por favor, reveja.", ""))),"")</f>
        <v/>
      </c>
      <c r="F91" s="300"/>
      <c r="G91" s="300"/>
      <c r="H91" s="69"/>
      <c r="I91" s="54"/>
      <c r="J91" s="90"/>
      <c r="K91" s="90"/>
    </row>
    <row r="92" spans="2:13" s="446" customFormat="1" ht="60" customHeight="1" x14ac:dyDescent="0.3">
      <c r="B92" s="447"/>
      <c r="C92" s="293" t="s">
        <v>1013</v>
      </c>
      <c r="D92" s="292" t="s">
        <v>77</v>
      </c>
      <c r="E92" s="1105"/>
      <c r="F92" s="1408" t="s">
        <v>160</v>
      </c>
      <c r="G92" s="1409"/>
      <c r="H92" s="306"/>
      <c r="I92" s="307"/>
      <c r="J92" s="308"/>
      <c r="K92" s="308"/>
    </row>
    <row r="93" spans="2:13" s="446" customFormat="1" ht="60" customHeight="1" x14ac:dyDescent="0.3">
      <c r="B93" s="447"/>
      <c r="C93" s="293" t="s">
        <v>1014</v>
      </c>
      <c r="D93" s="292" t="s">
        <v>77</v>
      </c>
      <c r="E93" s="1105"/>
      <c r="F93" s="1408" t="s">
        <v>160</v>
      </c>
      <c r="G93" s="1409"/>
      <c r="H93" s="306"/>
      <c r="I93" s="307"/>
      <c r="J93" s="308"/>
      <c r="K93" s="308"/>
    </row>
    <row r="94" spans="2:13" s="446" customFormat="1" ht="60" customHeight="1" x14ac:dyDescent="0.3">
      <c r="B94" s="447"/>
      <c r="C94" s="293" t="s">
        <v>1015</v>
      </c>
      <c r="D94" s="292" t="s">
        <v>77</v>
      </c>
      <c r="E94" s="1105"/>
      <c r="F94" s="1408" t="s">
        <v>160</v>
      </c>
      <c r="G94" s="1409"/>
      <c r="H94" s="306"/>
      <c r="I94" s="307"/>
      <c r="J94" s="308"/>
      <c r="K94" s="308"/>
    </row>
    <row r="95" spans="2:13" s="446" customFormat="1" ht="60" customHeight="1" x14ac:dyDescent="0.3">
      <c r="B95" s="447"/>
      <c r="C95" s="293" t="s">
        <v>1016</v>
      </c>
      <c r="D95" s="292" t="s">
        <v>77</v>
      </c>
      <c r="E95" s="1105"/>
      <c r="F95" s="1408" t="s">
        <v>160</v>
      </c>
      <c r="G95" s="1409"/>
      <c r="H95" s="306"/>
      <c r="I95" s="307"/>
      <c r="J95" s="308"/>
      <c r="K95" s="308"/>
    </row>
    <row r="96" spans="2:13" s="446" customFormat="1" ht="60" customHeight="1" x14ac:dyDescent="0.3">
      <c r="B96" s="447"/>
      <c r="C96" s="293" t="s">
        <v>1048</v>
      </c>
      <c r="D96" s="292" t="s">
        <v>77</v>
      </c>
      <c r="E96" s="1105"/>
      <c r="F96" s="1408" t="s">
        <v>160</v>
      </c>
      <c r="G96" s="1409"/>
      <c r="H96" s="306"/>
      <c r="I96" s="307"/>
      <c r="J96" s="308"/>
      <c r="K96" s="308"/>
    </row>
    <row r="97" spans="2:11" s="446" customFormat="1" ht="60" customHeight="1" x14ac:dyDescent="0.3">
      <c r="B97" s="447"/>
      <c r="C97" s="293" t="s">
        <v>1017</v>
      </c>
      <c r="D97" s="292" t="s">
        <v>77</v>
      </c>
      <c r="E97" s="1105"/>
      <c r="F97" s="1408" t="s">
        <v>160</v>
      </c>
      <c r="G97" s="1409"/>
      <c r="H97" s="306"/>
      <c r="I97" s="307"/>
      <c r="J97" s="308"/>
      <c r="K97" s="308"/>
    </row>
    <row r="98" spans="2:11" ht="58.15" customHeight="1" x14ac:dyDescent="0.25">
      <c r="B98" s="59"/>
      <c r="C98" s="293" t="s">
        <v>1018</v>
      </c>
      <c r="D98" s="292" t="s">
        <v>77</v>
      </c>
      <c r="E98" s="1105"/>
      <c r="F98" s="1408" t="s">
        <v>160</v>
      </c>
      <c r="G98" s="1409"/>
      <c r="H98" s="69"/>
      <c r="I98" s="54"/>
      <c r="J98" s="90"/>
      <c r="K98" s="90"/>
    </row>
    <row r="99" spans="2:11" ht="54" customHeight="1" x14ac:dyDescent="0.25">
      <c r="B99" s="59"/>
      <c r="C99" s="293" t="s">
        <v>1020</v>
      </c>
      <c r="D99" s="292" t="s">
        <v>77</v>
      </c>
      <c r="E99" s="1105"/>
      <c r="F99" s="1408" t="s">
        <v>160</v>
      </c>
      <c r="G99" s="1409"/>
      <c r="H99" s="69"/>
      <c r="I99" s="54"/>
      <c r="J99" s="90"/>
      <c r="K99" s="90"/>
    </row>
    <row r="100" spans="2:11" ht="19.899999999999999" hidden="1" customHeight="1" x14ac:dyDescent="0.25">
      <c r="B100" s="59"/>
      <c r="C100" s="215" t="s">
        <v>194</v>
      </c>
      <c r="D100" s="215"/>
      <c r="E100" s="135" t="s">
        <v>146</v>
      </c>
      <c r="F100" s="135" t="s">
        <v>160</v>
      </c>
      <c r="G100" s="287" t="s">
        <v>160</v>
      </c>
      <c r="H100" s="69"/>
      <c r="I100" s="54"/>
      <c r="J100" s="55"/>
      <c r="K100" s="48"/>
    </row>
    <row r="101" spans="2:11" ht="19.899999999999999" hidden="1" customHeight="1" x14ac:dyDescent="0.25">
      <c r="B101" s="59"/>
      <c r="C101" s="87"/>
      <c r="D101" s="88"/>
      <c r="E101" s="105"/>
      <c r="F101" s="105"/>
      <c r="G101" s="287" t="s">
        <v>160</v>
      </c>
      <c r="H101" s="69"/>
      <c r="I101" s="54"/>
      <c r="J101" s="55"/>
      <c r="K101" s="48"/>
    </row>
    <row r="102" spans="2:11" ht="19.899999999999999" hidden="1" customHeight="1" x14ac:dyDescent="0.25">
      <c r="B102" s="59"/>
      <c r="C102" s="87"/>
      <c r="D102" s="88"/>
      <c r="E102" s="105"/>
      <c r="F102" s="105"/>
      <c r="G102" s="287" t="s">
        <v>160</v>
      </c>
      <c r="H102" s="69"/>
      <c r="I102" s="54"/>
      <c r="J102" s="55"/>
      <c r="K102" s="48"/>
    </row>
    <row r="103" spans="2:11" ht="19.899999999999999" hidden="1" customHeight="1" x14ac:dyDescent="0.25">
      <c r="B103" s="59"/>
      <c r="C103" s="87"/>
      <c r="D103" s="88"/>
      <c r="E103" s="105"/>
      <c r="F103" s="105"/>
      <c r="G103" s="287" t="s">
        <v>160</v>
      </c>
      <c r="H103" s="69"/>
      <c r="I103" s="54"/>
      <c r="J103" s="55"/>
      <c r="K103" s="48"/>
    </row>
    <row r="104" spans="2:11" ht="19.899999999999999" hidden="1" customHeight="1" x14ac:dyDescent="0.25">
      <c r="B104" s="59"/>
      <c r="C104" s="87"/>
      <c r="D104" s="88"/>
      <c r="E104" s="105"/>
      <c r="F104" s="105"/>
      <c r="G104" s="287" t="s">
        <v>160</v>
      </c>
      <c r="H104" s="69"/>
      <c r="I104" s="54"/>
      <c r="J104" s="55"/>
      <c r="K104" s="48"/>
    </row>
    <row r="105" spans="2:11" ht="19.899999999999999" hidden="1" customHeight="1" x14ac:dyDescent="0.25">
      <c r="B105" s="59"/>
      <c r="C105" s="87"/>
      <c r="D105" s="88"/>
      <c r="E105" s="105"/>
      <c r="F105" s="105"/>
      <c r="G105" s="287" t="s">
        <v>160</v>
      </c>
      <c r="H105" s="69"/>
      <c r="I105" s="54"/>
      <c r="J105" s="55"/>
      <c r="K105" s="48"/>
    </row>
    <row r="106" spans="2:11" ht="19.899999999999999" hidden="1" customHeight="1" x14ac:dyDescent="0.25">
      <c r="B106" s="59"/>
      <c r="C106" s="87"/>
      <c r="D106" s="88"/>
      <c r="E106" s="105"/>
      <c r="F106" s="105"/>
      <c r="G106" s="287" t="s">
        <v>160</v>
      </c>
      <c r="H106" s="69"/>
      <c r="I106" s="54"/>
      <c r="J106" s="55"/>
      <c r="K106" s="48"/>
    </row>
    <row r="107" spans="2:11" ht="19.899999999999999" hidden="1" customHeight="1" x14ac:dyDescent="0.25">
      <c r="B107" s="59"/>
      <c r="C107" s="87"/>
      <c r="D107" s="88"/>
      <c r="E107" s="105"/>
      <c r="F107" s="105"/>
      <c r="G107" s="287" t="s">
        <v>160</v>
      </c>
      <c r="H107" s="69"/>
      <c r="I107" s="54"/>
      <c r="J107" s="55"/>
      <c r="K107" s="48"/>
    </row>
    <row r="108" spans="2:11" ht="19.899999999999999" hidden="1" customHeight="1" x14ac:dyDescent="0.25">
      <c r="B108" s="59"/>
      <c r="C108" s="87"/>
      <c r="D108" s="88"/>
      <c r="E108" s="105"/>
      <c r="F108" s="105"/>
      <c r="G108" s="287" t="s">
        <v>160</v>
      </c>
      <c r="H108" s="69"/>
      <c r="I108" s="54"/>
      <c r="J108" s="55"/>
      <c r="K108" s="48"/>
    </row>
    <row r="109" spans="2:11" ht="19.899999999999999" hidden="1" customHeight="1" x14ac:dyDescent="0.25">
      <c r="B109" s="59"/>
      <c r="C109" s="87"/>
      <c r="D109" s="88"/>
      <c r="E109" s="105"/>
      <c r="F109" s="105"/>
      <c r="G109" s="287" t="s">
        <v>160</v>
      </c>
      <c r="H109" s="69"/>
      <c r="I109" s="54"/>
      <c r="J109" s="55"/>
      <c r="K109" s="48"/>
    </row>
    <row r="110" spans="2:11" ht="19.899999999999999" hidden="1" customHeight="1" x14ac:dyDescent="0.25">
      <c r="B110" s="59"/>
      <c r="C110" s="87"/>
      <c r="D110" s="88"/>
      <c r="E110" s="88"/>
      <c r="F110" s="88"/>
      <c r="G110" s="287" t="s">
        <v>160</v>
      </c>
      <c r="H110" s="69"/>
      <c r="I110" s="54"/>
      <c r="J110" s="55"/>
      <c r="K110" s="48"/>
    </row>
    <row r="111" spans="2:11" ht="19.899999999999999" hidden="1" customHeight="1" x14ac:dyDescent="0.25">
      <c r="B111" s="59"/>
      <c r="C111" s="1411" t="s">
        <v>159</v>
      </c>
      <c r="D111" s="1407"/>
      <c r="E111" s="1407"/>
      <c r="F111" s="1407"/>
      <c r="G111" s="287" t="s">
        <v>160</v>
      </c>
      <c r="H111" s="69"/>
      <c r="I111" s="54"/>
      <c r="J111" s="55"/>
      <c r="K111" s="48"/>
    </row>
    <row r="112" spans="2:11" ht="19.899999999999999" hidden="1" customHeight="1" x14ac:dyDescent="0.25">
      <c r="B112" s="59"/>
      <c r="C112" s="92"/>
      <c r="D112" s="92"/>
      <c r="E112" s="92"/>
      <c r="F112" s="92"/>
      <c r="G112" s="287" t="s">
        <v>160</v>
      </c>
      <c r="H112" s="69"/>
      <c r="I112" s="54"/>
      <c r="J112" s="55"/>
      <c r="K112" s="48"/>
    </row>
    <row r="113" spans="2:12" ht="19.899999999999999" hidden="1" customHeight="1" x14ac:dyDescent="0.25">
      <c r="B113" s="59"/>
      <c r="C113" s="1480"/>
      <c r="D113" s="1480"/>
      <c r="E113" s="1480"/>
      <c r="F113" s="1480"/>
      <c r="G113" s="287" t="s">
        <v>160</v>
      </c>
      <c r="H113" s="69"/>
      <c r="I113" s="54"/>
      <c r="J113" s="55"/>
      <c r="K113" s="48"/>
    </row>
    <row r="114" spans="2:12" ht="19.899999999999999" hidden="1" customHeight="1" x14ac:dyDescent="0.25">
      <c r="B114" s="59"/>
      <c r="C114" s="95"/>
      <c r="D114" s="95"/>
      <c r="E114" s="95"/>
      <c r="F114" s="95"/>
      <c r="G114" s="287" t="s">
        <v>160</v>
      </c>
      <c r="H114" s="69"/>
      <c r="I114" s="54"/>
      <c r="J114" s="55"/>
      <c r="K114" s="48"/>
    </row>
    <row r="115" spans="2:12" ht="19.899999999999999" hidden="1" customHeight="1" x14ac:dyDescent="0.4">
      <c r="B115" s="59"/>
      <c r="C115" s="98" t="s">
        <v>166</v>
      </c>
      <c r="D115" s="84" t="s">
        <v>3</v>
      </c>
      <c r="E115" s="83" t="s">
        <v>157</v>
      </c>
      <c r="F115" s="85" t="s">
        <v>158</v>
      </c>
      <c r="G115" s="287" t="s">
        <v>160</v>
      </c>
      <c r="H115" s="69"/>
      <c r="I115" s="54"/>
      <c r="J115" s="55"/>
      <c r="K115" s="48"/>
    </row>
    <row r="116" spans="2:12" ht="19.899999999999999" hidden="1" customHeight="1" x14ac:dyDescent="0.25">
      <c r="B116" s="59"/>
      <c r="C116" s="1448" t="s">
        <v>156</v>
      </c>
      <c r="D116" s="1448"/>
      <c r="E116" s="1448"/>
      <c r="F116" s="1448"/>
      <c r="G116" s="287" t="s">
        <v>160</v>
      </c>
      <c r="H116" s="69"/>
      <c r="I116" s="54"/>
      <c r="J116" s="55" t="s">
        <v>174</v>
      </c>
      <c r="K116" s="48"/>
    </row>
    <row r="117" spans="2:12" ht="19.899999999999999" hidden="1" customHeight="1" x14ac:dyDescent="0.25">
      <c r="B117" s="59"/>
      <c r="C117" s="97" t="s">
        <v>167</v>
      </c>
      <c r="D117" s="74" t="s">
        <v>155</v>
      </c>
      <c r="E117" s="82" t="s">
        <v>147</v>
      </c>
      <c r="F117" s="86" t="s">
        <v>160</v>
      </c>
      <c r="G117" s="287" t="s">
        <v>160</v>
      </c>
      <c r="H117" s="69"/>
      <c r="I117" s="54"/>
      <c r="J117" s="55" t="s">
        <v>175</v>
      </c>
      <c r="K117" s="48"/>
    </row>
    <row r="118" spans="2:12" ht="19.899999999999999" hidden="1" customHeight="1" x14ac:dyDescent="0.25">
      <c r="B118" s="59"/>
      <c r="C118" s="97" t="s">
        <v>168</v>
      </c>
      <c r="D118" s="74" t="s">
        <v>155</v>
      </c>
      <c r="E118" s="82" t="s">
        <v>147</v>
      </c>
      <c r="F118" s="86" t="s">
        <v>160</v>
      </c>
      <c r="G118" s="287" t="s">
        <v>160</v>
      </c>
      <c r="H118" s="69"/>
      <c r="I118" s="54"/>
      <c r="J118" s="55"/>
      <c r="K118" s="48"/>
    </row>
    <row r="119" spans="2:12" ht="19.899999999999999" hidden="1" customHeight="1" x14ac:dyDescent="0.25">
      <c r="B119" s="59"/>
      <c r="C119" s="1448" t="s">
        <v>129</v>
      </c>
      <c r="D119" s="1448"/>
      <c r="E119" s="1448"/>
      <c r="F119" s="1448"/>
      <c r="G119" s="287" t="s">
        <v>160</v>
      </c>
      <c r="H119" s="69"/>
      <c r="I119" s="54"/>
      <c r="J119" s="55"/>
      <c r="K119" s="48"/>
    </row>
    <row r="120" spans="2:12" ht="19.899999999999999" hidden="1" customHeight="1" x14ac:dyDescent="0.25">
      <c r="B120" s="59"/>
      <c r="C120" s="73" t="s">
        <v>163</v>
      </c>
      <c r="D120" s="74" t="s">
        <v>155</v>
      </c>
      <c r="E120" s="82" t="s">
        <v>147</v>
      </c>
      <c r="F120" s="86" t="s">
        <v>160</v>
      </c>
      <c r="G120" s="287" t="s">
        <v>160</v>
      </c>
      <c r="H120" s="69"/>
      <c r="I120" s="54"/>
      <c r="J120" s="55"/>
      <c r="K120" s="48"/>
    </row>
    <row r="121" spans="2:12" ht="19.899999999999999" hidden="1" customHeight="1" x14ac:dyDescent="0.25">
      <c r="B121" s="59"/>
      <c r="C121" s="73" t="s">
        <v>165</v>
      </c>
      <c r="D121" s="74" t="s">
        <v>155</v>
      </c>
      <c r="E121" s="82" t="s">
        <v>147</v>
      </c>
      <c r="F121" s="86" t="s">
        <v>160</v>
      </c>
      <c r="G121" s="287" t="s">
        <v>160</v>
      </c>
      <c r="H121" s="69"/>
      <c r="I121" s="54"/>
      <c r="J121" s="55"/>
      <c r="K121" s="48"/>
    </row>
    <row r="122" spans="2:12" ht="19.899999999999999" hidden="1" customHeight="1" x14ac:dyDescent="0.25">
      <c r="B122" s="59"/>
      <c r="C122" s="99" t="s">
        <v>16</v>
      </c>
      <c r="D122" s="99"/>
      <c r="E122" s="99"/>
      <c r="F122" s="99"/>
      <c r="G122" s="287" t="s">
        <v>160</v>
      </c>
      <c r="H122" s="69"/>
      <c r="I122" s="54"/>
      <c r="J122" s="55"/>
      <c r="K122" s="48"/>
    </row>
    <row r="123" spans="2:12" ht="19.899999999999999" hidden="1" customHeight="1" x14ac:dyDescent="0.25">
      <c r="B123" s="59"/>
      <c r="C123" s="73" t="s">
        <v>163</v>
      </c>
      <c r="D123" s="74" t="s">
        <v>155</v>
      </c>
      <c r="E123" s="82" t="s">
        <v>147</v>
      </c>
      <c r="F123" s="86" t="s">
        <v>160</v>
      </c>
      <c r="G123" s="287" t="s">
        <v>160</v>
      </c>
      <c r="H123" s="69"/>
      <c r="I123" s="54"/>
      <c r="J123" s="55"/>
      <c r="K123" s="48"/>
    </row>
    <row r="124" spans="2:12" ht="19.899999999999999" hidden="1" customHeight="1" x14ac:dyDescent="0.25">
      <c r="B124" s="59"/>
      <c r="C124" s="73" t="s">
        <v>164</v>
      </c>
      <c r="D124" s="74" t="s">
        <v>155</v>
      </c>
      <c r="E124" s="82" t="s">
        <v>147</v>
      </c>
      <c r="F124" s="86" t="s">
        <v>160</v>
      </c>
      <c r="G124" s="287" t="s">
        <v>160</v>
      </c>
      <c r="H124" s="69"/>
      <c r="I124" s="54"/>
      <c r="J124" s="55"/>
      <c r="K124" s="48"/>
    </row>
    <row r="125" spans="2:12" ht="19.899999999999999" hidden="1" customHeight="1" x14ac:dyDescent="0.25">
      <c r="B125" s="59"/>
      <c r="C125" s="1448" t="s">
        <v>134</v>
      </c>
      <c r="D125" s="1448"/>
      <c r="E125" s="1448"/>
      <c r="F125" s="1448"/>
      <c r="G125" s="287" t="s">
        <v>160</v>
      </c>
      <c r="H125" s="69"/>
      <c r="I125" s="54"/>
      <c r="J125" s="55"/>
      <c r="K125" s="48"/>
    </row>
    <row r="126" spans="2:12" ht="19.899999999999999" hidden="1" customHeight="1" x14ac:dyDescent="0.25">
      <c r="B126" s="59"/>
      <c r="C126" s="73" t="s">
        <v>163</v>
      </c>
      <c r="D126" s="74" t="s">
        <v>155</v>
      </c>
      <c r="E126" s="82" t="s">
        <v>147</v>
      </c>
      <c r="F126" s="86" t="s">
        <v>160</v>
      </c>
      <c r="G126" s="287" t="s">
        <v>160</v>
      </c>
      <c r="H126" s="69"/>
      <c r="I126" s="54"/>
      <c r="J126" s="55"/>
      <c r="K126" s="48"/>
    </row>
    <row r="127" spans="2:12" ht="19.899999999999999" hidden="1" customHeight="1" x14ac:dyDescent="0.25">
      <c r="B127" s="59"/>
      <c r="C127" s="73" t="s">
        <v>164</v>
      </c>
      <c r="D127" s="74" t="s">
        <v>155</v>
      </c>
      <c r="E127" s="82" t="s">
        <v>147</v>
      </c>
      <c r="F127" s="86" t="s">
        <v>160</v>
      </c>
      <c r="G127" s="287" t="s">
        <v>160</v>
      </c>
      <c r="H127" s="69"/>
      <c r="I127" s="54"/>
      <c r="J127" s="54"/>
      <c r="K127" s="54"/>
      <c r="L127" s="54"/>
    </row>
    <row r="128" spans="2:12" ht="19.899999999999999" hidden="1" customHeight="1" x14ac:dyDescent="0.25">
      <c r="B128" s="59"/>
      <c r="C128" s="1448" t="s">
        <v>161</v>
      </c>
      <c r="D128" s="1448"/>
      <c r="E128" s="1448"/>
      <c r="F128" s="1448"/>
      <c r="G128" s="287" t="s">
        <v>160</v>
      </c>
      <c r="H128" s="69"/>
      <c r="I128" s="54"/>
      <c r="J128" s="54"/>
      <c r="K128" s="54"/>
      <c r="L128" s="54"/>
    </row>
    <row r="129" spans="2:19" ht="19.899999999999999" hidden="1" customHeight="1" x14ac:dyDescent="0.25">
      <c r="B129" s="59"/>
      <c r="C129" s="73" t="s">
        <v>162</v>
      </c>
      <c r="D129" s="74" t="s">
        <v>155</v>
      </c>
      <c r="E129" s="82" t="s">
        <v>147</v>
      </c>
      <c r="F129" s="86" t="s">
        <v>160</v>
      </c>
      <c r="G129" s="287" t="s">
        <v>160</v>
      </c>
      <c r="H129" s="69"/>
      <c r="I129" s="54"/>
      <c r="J129" s="54"/>
      <c r="K129" s="54"/>
      <c r="L129" s="54"/>
    </row>
    <row r="130" spans="2:19" ht="15" customHeight="1" x14ac:dyDescent="0.25">
      <c r="B130" s="61"/>
      <c r="C130" s="75"/>
      <c r="D130" s="76"/>
      <c r="E130" s="76"/>
      <c r="F130" s="76"/>
      <c r="G130" s="76"/>
      <c r="H130" s="70"/>
      <c r="I130" s="54"/>
      <c r="J130" s="54"/>
      <c r="K130" s="54"/>
      <c r="L130" s="54"/>
    </row>
    <row r="138" spans="2:19" ht="39" x14ac:dyDescent="0.25">
      <c r="B138" s="66"/>
      <c r="C138" s="66" t="s">
        <v>494</v>
      </c>
      <c r="D138" s="57"/>
      <c r="E138" s="57"/>
      <c r="F138" s="57"/>
      <c r="G138" s="57"/>
      <c r="H138" s="58"/>
    </row>
    <row r="139" spans="2:19" ht="24" customHeight="1" x14ac:dyDescent="0.25">
      <c r="B139" s="59"/>
      <c r="H139" s="60"/>
    </row>
    <row r="140" spans="2:19" ht="24" customHeight="1" x14ac:dyDescent="0.25">
      <c r="B140" s="59"/>
      <c r="C140" s="1411" t="s">
        <v>857</v>
      </c>
      <c r="D140" s="1407"/>
      <c r="E140" s="1407"/>
      <c r="F140" s="1407"/>
      <c r="G140" s="115"/>
      <c r="H140" s="60"/>
      <c r="J140" s="55"/>
      <c r="K140" s="64"/>
      <c r="R140" s="55"/>
      <c r="S140" s="48"/>
    </row>
    <row r="141" spans="2:19" ht="40.15" customHeight="1" x14ac:dyDescent="0.25">
      <c r="B141" s="59"/>
      <c r="C141" s="592" t="s">
        <v>114</v>
      </c>
      <c r="D141" s="593" t="s">
        <v>3</v>
      </c>
      <c r="E141" s="593" t="s">
        <v>671</v>
      </c>
      <c r="F141" s="593" t="s">
        <v>673</v>
      </c>
      <c r="G141" s="212"/>
      <c r="H141" s="60"/>
      <c r="J141" s="55"/>
      <c r="K141" s="64"/>
      <c r="R141" s="55"/>
      <c r="S141" s="48"/>
    </row>
    <row r="142" spans="2:19" ht="40.15" customHeight="1" x14ac:dyDescent="0.25">
      <c r="B142" s="59"/>
      <c r="C142" s="311" t="s">
        <v>885</v>
      </c>
      <c r="D142" s="312" t="s">
        <v>681</v>
      </c>
      <c r="E142" s="522">
        <f>IFERROR(E143-E144,"")</f>
        <v>0</v>
      </c>
      <c r="F142" s="523">
        <f>IFERROR(F143-F144,"")</f>
        <v>0</v>
      </c>
      <c r="G142" s="213"/>
      <c r="H142" s="60"/>
      <c r="J142" s="55"/>
      <c r="K142" s="64"/>
      <c r="R142" s="55"/>
      <c r="S142" s="48"/>
    </row>
    <row r="143" spans="2:19" ht="40.15" customHeight="1" x14ac:dyDescent="0.25">
      <c r="B143" s="59"/>
      <c r="C143" s="313" t="s">
        <v>867</v>
      </c>
      <c r="D143" s="314" t="s">
        <v>681</v>
      </c>
      <c r="E143" s="524">
        <f>IFERROR(FACalc_parquesestacionamento!C101,"")</f>
        <v>0</v>
      </c>
      <c r="F143" s="525">
        <f>FACalc_parquesestacionamento!C139</f>
        <v>0</v>
      </c>
      <c r="G143" s="604" t="str">
        <f>IF(F21="", "!Preencher Fator de Emissão de eletricidade","")</f>
        <v>!Preencher Fator de Emissão de eletricidade</v>
      </c>
      <c r="H143" s="60"/>
      <c r="J143" s="55"/>
      <c r="K143" s="64"/>
      <c r="R143" s="55"/>
      <c r="S143" s="48"/>
    </row>
    <row r="144" spans="2:19" ht="40.15" customHeight="1" x14ac:dyDescent="0.25">
      <c r="B144" s="59"/>
      <c r="C144" s="316" t="s">
        <v>868</v>
      </c>
      <c r="D144" s="317" t="s">
        <v>681</v>
      </c>
      <c r="E144" s="526">
        <f>FACalc_parquesestacionamento!K21</f>
        <v>0</v>
      </c>
      <c r="F144" s="527">
        <f>FACalc_parquesestacionamento!N21</f>
        <v>0</v>
      </c>
      <c r="G144" s="213"/>
      <c r="H144" s="60"/>
      <c r="J144" s="55"/>
      <c r="K144" s="64"/>
      <c r="R144" s="55"/>
      <c r="S144" s="48"/>
    </row>
    <row r="145" spans="2:19" ht="40.15" customHeight="1" x14ac:dyDescent="0.25">
      <c r="B145" s="59"/>
      <c r="C145" s="598" t="s">
        <v>1059</v>
      </c>
      <c r="D145" s="599" t="s">
        <v>681</v>
      </c>
      <c r="E145" s="600">
        <f>-E142</f>
        <v>0</v>
      </c>
      <c r="F145" s="601">
        <f>-F142</f>
        <v>0</v>
      </c>
      <c r="G145" s="213"/>
      <c r="H145" s="60"/>
      <c r="J145" s="55"/>
      <c r="K145" s="64"/>
      <c r="R145" s="55"/>
      <c r="S145" s="48"/>
    </row>
    <row r="146" spans="2:19" ht="48" customHeight="1" x14ac:dyDescent="0.25">
      <c r="B146" s="59"/>
      <c r="C146" s="605" t="s">
        <v>530</v>
      </c>
      <c r="D146" s="1238" t="s">
        <v>1303</v>
      </c>
      <c r="E146" s="606" t="str">
        <f>IFERROR(E142*FACalc_parquesestacionamento!$Y$13,"")</f>
        <v/>
      </c>
      <c r="F146" s="607" t="str">
        <f>IFERROR(F142*FACalc_parquesestacionamento!$Y$13,"")</f>
        <v/>
      </c>
      <c r="G146" s="858" t="str">
        <f>IF(E146="","!Preencher Ano de início da exploração (ID_Identificação do Projeto)","" )</f>
        <v>!Preencher Ano de início da exploração (ID_Identificação do Projeto)</v>
      </c>
      <c r="H146" s="60"/>
      <c r="J146" s="55"/>
      <c r="K146" s="48"/>
      <c r="R146" s="55"/>
      <c r="S146" s="48"/>
    </row>
    <row r="147" spans="2:19" ht="19.899999999999999" customHeight="1" x14ac:dyDescent="0.25">
      <c r="B147" s="61"/>
      <c r="C147" s="859"/>
      <c r="D147" s="860"/>
      <c r="E147" s="860"/>
      <c r="F147" s="860"/>
      <c r="G147" s="860"/>
      <c r="H147" s="62"/>
      <c r="J147" s="55"/>
      <c r="K147" s="48"/>
      <c r="R147" s="55"/>
      <c r="S147" s="48"/>
    </row>
    <row r="148" spans="2:19" ht="26.45" customHeight="1" x14ac:dyDescent="0.25">
      <c r="C148" s="1517"/>
      <c r="D148" s="1517"/>
      <c r="E148" s="1517"/>
      <c r="F148" s="1517"/>
      <c r="G148" s="92"/>
      <c r="J148" s="55"/>
      <c r="K148" s="48"/>
      <c r="R148" s="55"/>
      <c r="S148" s="48"/>
    </row>
    <row r="149" spans="2:19" ht="40.15" customHeight="1" x14ac:dyDescent="0.25">
      <c r="C149" s="856"/>
      <c r="D149" s="857"/>
      <c r="E149" s="646"/>
      <c r="F149" s="646"/>
      <c r="G149" s="764"/>
      <c r="J149" s="55"/>
      <c r="K149" s="48"/>
      <c r="R149" s="55"/>
      <c r="S149" s="48"/>
    </row>
    <row r="150" spans="2:19" ht="40.15" customHeight="1" x14ac:dyDescent="0.25">
      <c r="C150" s="596"/>
      <c r="D150" s="812"/>
      <c r="E150" s="503"/>
      <c r="F150" s="503"/>
      <c r="G150" s="88"/>
      <c r="J150" s="207"/>
      <c r="K150" s="48"/>
      <c r="R150" s="55"/>
      <c r="S150" s="48"/>
    </row>
    <row r="151" spans="2:19" ht="40.15" customHeight="1" x14ac:dyDescent="0.25">
      <c r="C151" s="596"/>
      <c r="D151" s="812"/>
      <c r="E151" s="650"/>
      <c r="F151" s="650"/>
      <c r="G151" s="88"/>
      <c r="J151" s="55"/>
      <c r="K151" s="48"/>
      <c r="R151" s="55"/>
      <c r="S151" s="48"/>
    </row>
    <row r="152" spans="2:19" ht="40.15" customHeight="1" x14ac:dyDescent="0.25">
      <c r="C152" s="596"/>
      <c r="D152" s="812"/>
      <c r="E152" s="650"/>
      <c r="F152" s="650"/>
      <c r="G152" s="88"/>
      <c r="J152" s="55"/>
      <c r="K152" s="48"/>
      <c r="R152" s="55"/>
      <c r="S152" s="48"/>
    </row>
    <row r="153" spans="2:19" ht="40.15" customHeight="1" x14ac:dyDescent="0.25">
      <c r="C153" s="856"/>
      <c r="D153" s="857"/>
      <c r="E153" s="646"/>
      <c r="F153" s="646"/>
      <c r="G153" s="764"/>
      <c r="J153" s="55"/>
      <c r="K153" s="48"/>
      <c r="R153" s="55"/>
      <c r="S153" s="48"/>
    </row>
    <row r="154" spans="2:19" ht="40.15" customHeight="1" x14ac:dyDescent="0.25">
      <c r="C154" s="596"/>
      <c r="D154" s="812"/>
      <c r="E154" s="503"/>
      <c r="F154" s="503"/>
      <c r="G154" s="88"/>
      <c r="J154" s="55"/>
      <c r="K154" s="48"/>
      <c r="R154" s="55"/>
      <c r="S154" s="48"/>
    </row>
    <row r="155" spans="2:19" ht="40.15" customHeight="1" x14ac:dyDescent="0.25">
      <c r="C155" s="596"/>
      <c r="D155" s="812"/>
      <c r="E155" s="650"/>
      <c r="F155" s="650"/>
      <c r="G155" s="88"/>
      <c r="J155" s="54"/>
      <c r="K155" s="54"/>
      <c r="R155" s="55"/>
      <c r="S155" s="48"/>
    </row>
    <row r="156" spans="2:19" ht="40.15" customHeight="1" x14ac:dyDescent="0.25">
      <c r="C156" s="596"/>
      <c r="D156" s="812"/>
      <c r="E156" s="650"/>
      <c r="F156" s="650"/>
      <c r="G156" s="88"/>
      <c r="J156" s="54"/>
      <c r="K156" s="54"/>
      <c r="R156" s="55"/>
      <c r="S156" s="48"/>
    </row>
    <row r="157" spans="2:19" ht="40.15" customHeight="1" x14ac:dyDescent="0.25">
      <c r="C157" s="856"/>
      <c r="D157" s="857"/>
      <c r="E157" s="646"/>
      <c r="F157" s="646"/>
      <c r="G157" s="764"/>
      <c r="J157" s="54"/>
      <c r="K157" s="54"/>
      <c r="R157" s="55"/>
      <c r="S157" s="48"/>
    </row>
    <row r="158" spans="2:19" ht="40.15" customHeight="1" x14ac:dyDescent="0.25">
      <c r="C158" s="596"/>
      <c r="D158" s="812"/>
      <c r="E158" s="503"/>
      <c r="F158" s="503"/>
      <c r="G158" s="88"/>
      <c r="J158" s="54"/>
      <c r="K158" s="54"/>
      <c r="R158" s="55"/>
      <c r="S158" s="48"/>
    </row>
    <row r="159" spans="2:19" ht="40.15" customHeight="1" x14ac:dyDescent="0.25">
      <c r="C159" s="596"/>
      <c r="D159" s="812"/>
      <c r="E159" s="650"/>
      <c r="F159" s="650"/>
      <c r="G159" s="88"/>
      <c r="J159" s="54"/>
      <c r="K159" s="54"/>
      <c r="R159" s="55"/>
      <c r="S159" s="48"/>
    </row>
    <row r="160" spans="2:19" ht="40.15" customHeight="1" x14ac:dyDescent="0.25">
      <c r="C160" s="596"/>
      <c r="D160" s="812"/>
      <c r="E160" s="650"/>
      <c r="F160" s="650"/>
      <c r="G160" s="88"/>
      <c r="J160" s="208"/>
      <c r="K160" s="54"/>
      <c r="R160" s="55"/>
      <c r="S160" s="48"/>
    </row>
    <row r="161" spans="2:19" ht="40.15" customHeight="1" x14ac:dyDescent="0.25">
      <c r="C161" s="856"/>
      <c r="D161" s="857"/>
      <c r="E161" s="646"/>
      <c r="F161" s="646"/>
      <c r="G161" s="764"/>
      <c r="J161" s="208"/>
      <c r="K161" s="54"/>
      <c r="R161" s="55"/>
      <c r="S161" s="48"/>
    </row>
    <row r="162" spans="2:19" ht="40.15" customHeight="1" x14ac:dyDescent="0.25">
      <c r="C162" s="596"/>
      <c r="D162" s="812"/>
      <c r="E162" s="730"/>
      <c r="F162" s="730"/>
      <c r="G162" s="88"/>
      <c r="J162" s="208"/>
      <c r="K162" s="54"/>
      <c r="R162" s="55"/>
      <c r="S162" s="48"/>
    </row>
    <row r="163" spans="2:19" ht="40.15" customHeight="1" x14ac:dyDescent="0.25">
      <c r="C163" s="596"/>
      <c r="D163" s="812"/>
      <c r="E163" s="734"/>
      <c r="F163" s="734"/>
      <c r="G163" s="88"/>
      <c r="J163" s="208"/>
      <c r="K163" s="54"/>
      <c r="R163" s="55"/>
      <c r="S163" s="48"/>
    </row>
    <row r="164" spans="2:19" ht="40.15" customHeight="1" x14ac:dyDescent="0.25">
      <c r="C164" s="596"/>
      <c r="D164" s="812"/>
      <c r="E164" s="734"/>
      <c r="F164" s="734"/>
      <c r="G164" s="88"/>
      <c r="J164" s="208"/>
      <c r="K164" s="54"/>
      <c r="R164" s="55"/>
      <c r="S164" s="48"/>
    </row>
    <row r="165" spans="2:19" ht="40.15" customHeight="1" x14ac:dyDescent="0.25">
      <c r="C165" s="856"/>
      <c r="D165" s="857"/>
      <c r="E165" s="646"/>
      <c r="F165" s="646"/>
      <c r="G165" s="764"/>
      <c r="J165" s="54"/>
      <c r="K165" s="54"/>
      <c r="R165" s="55"/>
      <c r="S165" s="48"/>
    </row>
    <row r="166" spans="2:19" ht="40.15" customHeight="1" x14ac:dyDescent="0.25">
      <c r="C166" s="596"/>
      <c r="D166" s="812"/>
      <c r="E166" s="730"/>
      <c r="F166" s="730"/>
      <c r="G166" s="88"/>
      <c r="J166" s="54"/>
      <c r="K166" s="64"/>
      <c r="R166" s="54"/>
      <c r="S166" s="54"/>
    </row>
    <row r="167" spans="2:19" ht="40.15" customHeight="1" x14ac:dyDescent="0.25">
      <c r="C167" s="596"/>
      <c r="D167" s="812"/>
      <c r="E167" s="734"/>
      <c r="F167" s="734"/>
      <c r="G167" s="88"/>
      <c r="J167" s="159"/>
      <c r="K167" s="54"/>
      <c r="R167" s="54"/>
      <c r="S167" s="54"/>
    </row>
    <row r="168" spans="2:19" ht="40.15" customHeight="1" x14ac:dyDescent="0.25">
      <c r="C168" s="596"/>
      <c r="D168" s="812"/>
      <c r="E168" s="734"/>
      <c r="F168" s="734"/>
      <c r="G168" s="88"/>
      <c r="J168" s="54"/>
      <c r="K168" s="64"/>
      <c r="R168" s="54"/>
      <c r="S168" s="64"/>
    </row>
    <row r="169" spans="2:19" ht="46.9" customHeight="1" x14ac:dyDescent="0.25">
      <c r="C169" s="596"/>
      <c r="D169" s="812"/>
      <c r="E169" s="734"/>
      <c r="F169" s="734"/>
      <c r="G169" s="88"/>
      <c r="J169" s="54"/>
      <c r="K169" s="64"/>
      <c r="R169" s="54"/>
      <c r="S169" s="64"/>
    </row>
    <row r="170" spans="2:19" ht="24" x14ac:dyDescent="0.25">
      <c r="C170" s="1517"/>
      <c r="D170" s="1517"/>
      <c r="E170" s="1517"/>
      <c r="F170" s="1517"/>
      <c r="G170" s="92"/>
      <c r="J170" s="54"/>
      <c r="K170" s="64"/>
      <c r="R170" s="54"/>
      <c r="S170" s="64"/>
    </row>
    <row r="171" spans="2:19" ht="49.9" customHeight="1" x14ac:dyDescent="0.25">
      <c r="C171" s="646"/>
      <c r="D171" s="646"/>
      <c r="E171" s="646"/>
      <c r="F171" s="646"/>
      <c r="G171" s="646"/>
      <c r="J171" s="54"/>
      <c r="K171" s="64"/>
      <c r="R171" s="54"/>
      <c r="S171" s="64"/>
    </row>
    <row r="172" spans="2:19" ht="40.15" customHeight="1" x14ac:dyDescent="0.25">
      <c r="C172" s="291"/>
      <c r="D172" s="307"/>
      <c r="E172" s="602"/>
      <c r="F172" s="602"/>
      <c r="G172" s="602"/>
      <c r="J172" s="54"/>
      <c r="K172" s="54"/>
      <c r="R172" s="54"/>
      <c r="S172" s="54"/>
    </row>
    <row r="173" spans="2:19" ht="57.6" customHeight="1" x14ac:dyDescent="0.25">
      <c r="C173" s="291"/>
      <c r="D173" s="307"/>
      <c r="E173" s="814"/>
      <c r="F173" s="814"/>
      <c r="G173" s="814"/>
      <c r="J173" s="54"/>
      <c r="K173" s="64"/>
      <c r="R173" s="54"/>
      <c r="S173" s="54"/>
    </row>
    <row r="174" spans="2:19" ht="57.6" customHeight="1" x14ac:dyDescent="0.25">
      <c r="C174" s="291"/>
      <c r="D174" s="307"/>
      <c r="E174" s="814"/>
      <c r="F174" s="814"/>
      <c r="G174" s="814"/>
      <c r="J174" s="814"/>
      <c r="K174" s="64"/>
      <c r="R174" s="54"/>
      <c r="S174" s="54"/>
    </row>
    <row r="175" spans="2:19" ht="51.6" customHeight="1" x14ac:dyDescent="0.25">
      <c r="C175" s="291"/>
      <c r="D175" s="394"/>
      <c r="E175" s="814"/>
      <c r="F175" s="814"/>
      <c r="G175" s="814"/>
      <c r="J175" s="54"/>
      <c r="K175" s="54"/>
      <c r="R175" s="54"/>
      <c r="S175" s="54"/>
    </row>
    <row r="176" spans="2:19" ht="17.45" customHeight="1" x14ac:dyDescent="0.25">
      <c r="B176" s="61"/>
      <c r="C176" s="75"/>
      <c r="D176" s="76"/>
      <c r="E176" s="76"/>
      <c r="F176" s="76"/>
      <c r="G176" s="76"/>
      <c r="H176" s="70"/>
      <c r="I176" s="54"/>
      <c r="J176" s="54"/>
      <c r="K176" s="54"/>
    </row>
    <row r="179" spans="3:7" ht="15.75" x14ac:dyDescent="0.25">
      <c r="C179" s="87"/>
      <c r="D179" s="54"/>
      <c r="E179" s="133"/>
      <c r="F179" s="133"/>
      <c r="G179" s="133"/>
    </row>
  </sheetData>
  <sheetProtection algorithmName="SHA-512" hashValue="aTlqYqn2Ie6ql4d78Ec+f8xwvlWyUbkXXn95++Y7v49n/nJcXra5jvhmXxm44MsYeSm9ai4LcfH9miciW1kAkA==" saltValue="xeV6fC7tbJc2adzazdxZzw==" spinCount="100000" sheet="1" selectLockedCells="1"/>
  <mergeCells count="85">
    <mergeCell ref="J76:M76"/>
    <mergeCell ref="D78:G78"/>
    <mergeCell ref="D13:G13"/>
    <mergeCell ref="F61:G61"/>
    <mergeCell ref="F60:G60"/>
    <mergeCell ref="F59:G59"/>
    <mergeCell ref="F58:G58"/>
    <mergeCell ref="F52:G52"/>
    <mergeCell ref="D44:G44"/>
    <mergeCell ref="K20:L20"/>
    <mergeCell ref="J21:L23"/>
    <mergeCell ref="J27:K30"/>
    <mergeCell ref="L27:L30"/>
    <mergeCell ref="J31:K31"/>
    <mergeCell ref="C36:G36"/>
    <mergeCell ref="C37:C40"/>
    <mergeCell ref="K5:L5"/>
    <mergeCell ref="J6:L9"/>
    <mergeCell ref="D10:G10"/>
    <mergeCell ref="D11:G11"/>
    <mergeCell ref="D12:G12"/>
    <mergeCell ref="C14:C18"/>
    <mergeCell ref="D14:G14"/>
    <mergeCell ref="D15:G15"/>
    <mergeCell ref="D16:G16"/>
    <mergeCell ref="D17:G17"/>
    <mergeCell ref="D18:G18"/>
    <mergeCell ref="O21:R21"/>
    <mergeCell ref="O23:O26"/>
    <mergeCell ref="P23:P26"/>
    <mergeCell ref="Q23:Q26"/>
    <mergeCell ref="R23:R26"/>
    <mergeCell ref="D37:G37"/>
    <mergeCell ref="D38:G38"/>
    <mergeCell ref="D39:G39"/>
    <mergeCell ref="D40:G40"/>
    <mergeCell ref="D41:G41"/>
    <mergeCell ref="D42:G42"/>
    <mergeCell ref="F50:G50"/>
    <mergeCell ref="F51:G51"/>
    <mergeCell ref="F53:G53"/>
    <mergeCell ref="C53:E53"/>
    <mergeCell ref="C43:C45"/>
    <mergeCell ref="D43:G43"/>
    <mergeCell ref="E45:G45"/>
    <mergeCell ref="F47:G47"/>
    <mergeCell ref="F48:G48"/>
    <mergeCell ref="F56:G56"/>
    <mergeCell ref="F62:G62"/>
    <mergeCell ref="F57:G57"/>
    <mergeCell ref="F49:G49"/>
    <mergeCell ref="C54:D54"/>
    <mergeCell ref="F54:G54"/>
    <mergeCell ref="F55:G55"/>
    <mergeCell ref="F84:G84"/>
    <mergeCell ref="C73:F73"/>
    <mergeCell ref="C75:G75"/>
    <mergeCell ref="D76:G76"/>
    <mergeCell ref="D77:G77"/>
    <mergeCell ref="F80:G80"/>
    <mergeCell ref="F82:G82"/>
    <mergeCell ref="F83:G83"/>
    <mergeCell ref="F85:G85"/>
    <mergeCell ref="F89:G89"/>
    <mergeCell ref="F90:G90"/>
    <mergeCell ref="F92:G92"/>
    <mergeCell ref="F93:G93"/>
    <mergeCell ref="F86:G86"/>
    <mergeCell ref="F94:G94"/>
    <mergeCell ref="F87:G87"/>
    <mergeCell ref="F99:G99"/>
    <mergeCell ref="F95:G95"/>
    <mergeCell ref="F97:G97"/>
    <mergeCell ref="F96:G96"/>
    <mergeCell ref="F88:G88"/>
    <mergeCell ref="F98:G98"/>
    <mergeCell ref="C128:F128"/>
    <mergeCell ref="C140:F140"/>
    <mergeCell ref="C148:F148"/>
    <mergeCell ref="C170:F170"/>
    <mergeCell ref="C111:F111"/>
    <mergeCell ref="C113:F113"/>
    <mergeCell ref="C116:F116"/>
    <mergeCell ref="C119:F119"/>
    <mergeCell ref="C125:F125"/>
  </mergeCells>
  <dataValidations count="3">
    <dataValidation type="list" allowBlank="1" showInputMessage="1" showErrorMessage="1" sqref="K20:L20" xr:uid="{5B1BB368-88C8-40D9-B7D5-A6E4C45D30EC}">
      <formula1>$T$21:$T$22</formula1>
    </dataValidation>
    <dataValidation type="list" allowBlank="1" showInputMessage="1" showErrorMessage="1" sqref="K5:L5" xr:uid="{141D94F6-A4F8-467B-8F6B-75C1D27D6C32}">
      <formula1>$T$5:$T$6</formula1>
    </dataValidation>
    <dataValidation errorStyle="warning" allowBlank="1" showInputMessage="1" showErrorMessage="1" error="Não Introduzir valor" sqref="F31:F32 E52 E48 E50 F27:F29 F23:F25 E56:E62" xr:uid="{B2765DEB-C7F1-4C5D-A429-2844A8539B01}"/>
  </dataValidations>
  <hyperlinks>
    <hyperlink ref="E45:G45" r:id="rId1" display="Mobilidade e funcionalidade do território nas Áreas Metropolitanas do Porto e de Lisboa : 2017" xr:uid="{25267B50-0CD4-48FE-84AA-5BD3B73CC8DC}"/>
    <hyperlink ref="G143" location="'TM3_ferrovia e metro'!F20" display="'TM3_ferrovia e metro'!F20" xr:uid="{AD332E94-246B-4CA6-A4D4-E1BE6AAC6BC1}"/>
  </hyperlinks>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 id="{5EE52383-6C09-44DF-8D26-39048CDB662E}">
            <xm:f>$E$54=FAListas!$C$62</xm:f>
            <x14:dxf>
              <fill>
                <patternFill patternType="solid">
                  <bgColor theme="0"/>
                </patternFill>
              </fill>
            </x14:dxf>
          </x14:cfRule>
          <xm:sqref>C56:D62</xm:sqref>
        </x14:conditionalFormatting>
        <x14:conditionalFormatting xmlns:xm="http://schemas.microsoft.com/office/excel/2006/main">
          <x14:cfRule type="expression" priority="38" id="{69E2D03C-9B2D-4D7E-A3A9-0A95364D0063}">
            <xm:f>FACalc_rodovia!$C$11=FAListas!#REF!</xm:f>
            <x14:dxf>
              <fill>
                <patternFill>
                  <bgColor theme="1"/>
                </patternFill>
              </fill>
            </x14:dxf>
          </x14:cfRule>
          <xm:sqref>C141:F141</xm:sqref>
        </x14:conditionalFormatting>
        <x14:conditionalFormatting xmlns:xm="http://schemas.microsoft.com/office/excel/2006/main">
          <x14:cfRule type="expression" priority="9" id="{4EDF574D-2BC1-4AAC-B36E-FB3A8B66E939}">
            <xm:f>$E$54=FAListas!$C$62</xm:f>
            <x14:dxf>
              <font>
                <color theme="0"/>
              </font>
            </x14:dxf>
          </x14:cfRule>
          <xm:sqref>C55:G55</xm:sqref>
        </x14:conditionalFormatting>
        <x14:conditionalFormatting xmlns:xm="http://schemas.microsoft.com/office/excel/2006/main">
          <x14:cfRule type="expression" priority="12" id="{7143759E-DF3C-4E57-AED2-0661971D7474}">
            <xm:f>$E$54=FAListas!$C$62</xm:f>
            <x14:dxf>
              <fill>
                <patternFill>
                  <bgColor theme="8" tint="0.79998168889431442"/>
                </patternFill>
              </fill>
            </x14:dxf>
          </x14:cfRule>
          <xm:sqref>E56:E62</xm:sqref>
        </x14:conditionalFormatting>
        <x14:conditionalFormatting xmlns:xm="http://schemas.microsoft.com/office/excel/2006/main">
          <x14:cfRule type="expression" priority="42" id="{27AF8BE2-ADB0-45AB-B247-A5B6053254C9}">
            <xm:f>FACalc_rodovia!$C$11=FAListas!#REF!</xm:f>
            <x14:dxf>
              <fill>
                <patternFill>
                  <bgColor theme="1"/>
                </patternFill>
              </fill>
            </x14:dxf>
          </x14:cfRule>
          <xm:sqref>E81</xm:sqref>
        </x14:conditionalFormatting>
        <x14:conditionalFormatting xmlns:xm="http://schemas.microsoft.com/office/excel/2006/main">
          <x14:cfRule type="expression" priority="16" id="{780BDB23-C0A7-4281-BFB5-039F8E518496}">
            <xm:f>FACalc_rodovia!$C$11=FAListas!#REF!</xm:f>
            <x14:dxf>
              <fill>
                <patternFill>
                  <bgColor theme="1"/>
                </patternFill>
              </fill>
            </x14:dxf>
          </x14:cfRule>
          <xm:sqref>E91</xm:sqref>
        </x14:conditionalFormatting>
        <x14:conditionalFormatting xmlns:xm="http://schemas.microsoft.com/office/excel/2006/main">
          <x14:cfRule type="expression" priority="52" id="{D2478044-AACC-4039-A88D-C515DB469E0E}">
            <xm:f>IF(#REF!=FAListas!$C$6,TRUE, IF(#REF!=FAListas!#REF!, TRUE,""))</xm:f>
            <x14:dxf>
              <fill>
                <patternFill>
                  <bgColor theme="1"/>
                </patternFill>
              </fill>
            </x14:dxf>
          </x14:cfRule>
          <xm:sqref>E142:F142 E150:F150 E154:F154 E158:F158 E162:F162 E166:F166</xm:sqref>
        </x14:conditionalFormatting>
        <x14:conditionalFormatting xmlns:xm="http://schemas.microsoft.com/office/excel/2006/main">
          <x14:cfRule type="expression" priority="53" id="{53E4B45B-BBC7-4EB8-9266-C56D7B361B69}">
            <xm:f>#REF!=FAListas!#REF!</xm:f>
            <x14:dxf>
              <fill>
                <patternFill>
                  <bgColor theme="1"/>
                </patternFill>
              </fill>
            </x14:dxf>
          </x14:cfRule>
          <xm:sqref>E143:F146</xm:sqref>
        </x14:conditionalFormatting>
        <x14:conditionalFormatting xmlns:xm="http://schemas.microsoft.com/office/excel/2006/main">
          <x14:cfRule type="expression" priority="35" id="{3DFE163E-0C72-484E-BF93-2EC6A7105C6B}">
            <xm:f>IF(#REF!=FAListas!$C$6,TRUE, IF(#REF!=FAListas!#REF!, TRUE,""))</xm:f>
            <x14:dxf>
              <fill>
                <patternFill>
                  <bgColor theme="1"/>
                </patternFill>
              </fill>
            </x14:dxf>
          </x14:cfRule>
          <xm:sqref>E145:F145</xm:sqref>
        </x14:conditionalFormatting>
        <x14:conditionalFormatting xmlns:xm="http://schemas.microsoft.com/office/excel/2006/main">
          <x14:cfRule type="expression" priority="4" id="{2751FAB7-8E2D-4E08-9813-F547F4CAE0C0}">
            <xm:f>AND($E$23=FAListas!$C$57,$E$24=FAListas!$C$57,$E$25=FAListas!$C$57)</xm:f>
            <x14:dxf>
              <font>
                <color theme="1"/>
              </font>
              <fill>
                <patternFill>
                  <bgColor theme="1"/>
                </patternFill>
              </fill>
            </x14:dxf>
          </x14:cfRule>
          <xm:sqref>F22:G22</xm:sqref>
        </x14:conditionalFormatting>
        <x14:conditionalFormatting xmlns:xm="http://schemas.microsoft.com/office/excel/2006/main">
          <x14:cfRule type="expression" priority="45" id="{5131D31D-F800-426F-9030-888332A2D9B1}">
            <xm:f>$E$23=FAListas!$C$57</xm:f>
            <x14:dxf>
              <fill>
                <patternFill>
                  <bgColor theme="1"/>
                </patternFill>
              </fill>
            </x14:dxf>
          </x14:cfRule>
          <xm:sqref>F23:G23</xm:sqref>
        </x14:conditionalFormatting>
        <x14:conditionalFormatting xmlns:xm="http://schemas.microsoft.com/office/excel/2006/main">
          <x14:cfRule type="expression" priority="8" id="{8ECA8BC5-68BF-435B-9472-AA44E1C45CED}">
            <xm:f>$E$24=FAListas!$C$57</xm:f>
            <x14:dxf>
              <fill>
                <patternFill>
                  <bgColor theme="1"/>
                </patternFill>
              </fill>
            </x14:dxf>
          </x14:cfRule>
          <xm:sqref>F24:G24</xm:sqref>
        </x14:conditionalFormatting>
        <x14:conditionalFormatting xmlns:xm="http://schemas.microsoft.com/office/excel/2006/main">
          <x14:cfRule type="expression" priority="7" id="{AB7CD240-D751-4D3A-9AA5-C106729FF3A8}">
            <xm:f>$E$25=FAListas!$C$57</xm:f>
            <x14:dxf>
              <fill>
                <patternFill>
                  <bgColor theme="1"/>
                </patternFill>
              </fill>
            </x14:dxf>
          </x14:cfRule>
          <xm:sqref>F25:G25</xm:sqref>
        </x14:conditionalFormatting>
        <x14:conditionalFormatting xmlns:xm="http://schemas.microsoft.com/office/excel/2006/main">
          <x14:cfRule type="expression" priority="1" id="{85CC114C-8CE5-4947-AC01-A4C02F3E4312}">
            <xm:f>AND($E$27=FAListas!$C$57,$E$28=FAListas!$C$57,$E$29=FAListas!$C$57)</xm:f>
            <x14:dxf>
              <font>
                <color theme="1"/>
              </font>
              <fill>
                <patternFill>
                  <bgColor theme="1"/>
                </patternFill>
              </fill>
            </x14:dxf>
          </x14:cfRule>
          <xm:sqref>F26:G26</xm:sqref>
        </x14:conditionalFormatting>
        <x14:conditionalFormatting xmlns:xm="http://schemas.microsoft.com/office/excel/2006/main">
          <x14:cfRule type="expression" priority="48" id="{EC3CF206-7A52-45FF-A758-A3378F7FC81B}">
            <xm:f>$E$27=FAListas!$C$57</xm:f>
            <x14:dxf>
              <fill>
                <patternFill patternType="solid">
                  <fgColor theme="0"/>
                  <bgColor theme="1"/>
                </patternFill>
              </fill>
            </x14:dxf>
          </x14:cfRule>
          <xm:sqref>F27:G27</xm:sqref>
        </x14:conditionalFormatting>
        <x14:conditionalFormatting xmlns:xm="http://schemas.microsoft.com/office/excel/2006/main">
          <x14:cfRule type="expression" priority="6" id="{50D01144-A8AA-4C18-9F1D-A2C17ABD7032}">
            <xm:f>$E$28=FAListas!$C$57</xm:f>
            <x14:dxf>
              <fill>
                <patternFill>
                  <bgColor theme="1"/>
                </patternFill>
              </fill>
            </x14:dxf>
          </x14:cfRule>
          <xm:sqref>F28:G28</xm:sqref>
        </x14:conditionalFormatting>
        <x14:conditionalFormatting xmlns:xm="http://schemas.microsoft.com/office/excel/2006/main">
          <x14:cfRule type="expression" priority="5" id="{0BFCEA32-B89E-4F02-BCBB-0E3D7EAC5C1C}">
            <xm:f>$E$29=FAListas!$C$57</xm:f>
            <x14:dxf>
              <fill>
                <patternFill>
                  <bgColor theme="1"/>
                </patternFill>
              </fill>
            </x14:dxf>
          </x14:cfRule>
          <xm:sqref>F29:G29</xm:sqref>
        </x14:conditionalFormatting>
        <x14:conditionalFormatting xmlns:xm="http://schemas.microsoft.com/office/excel/2006/main">
          <x14:cfRule type="expression" priority="46" id="{C90FB073-7DD4-43C2-B1D5-792FE10C3B0A}">
            <xm:f>$E$31=FAListas!$C$57</xm:f>
            <x14:dxf>
              <fill>
                <patternFill>
                  <bgColor theme="1"/>
                </patternFill>
              </fill>
            </x14:dxf>
          </x14:cfRule>
          <xm:sqref>F31:G31</xm:sqref>
        </x14:conditionalFormatting>
        <x14:conditionalFormatting xmlns:xm="http://schemas.microsoft.com/office/excel/2006/main">
          <x14:cfRule type="expression" priority="47" id="{2D63A29B-1E25-447A-AA84-0F5F4F8D405F}">
            <xm:f>$E$32=FAListas!$C$57</xm:f>
            <x14:dxf>
              <fill>
                <patternFill patternType="solid">
                  <fgColor rgb="FFFF0000"/>
                  <bgColor theme="1"/>
                </patternFill>
              </fill>
            </x14:dxf>
          </x14:cfRule>
          <xm:sqref>F32:G32</xm:sqref>
        </x14:conditionalFormatting>
        <x14:conditionalFormatting xmlns:xm="http://schemas.microsoft.com/office/excel/2006/main">
          <x14:cfRule type="expression" priority="10" id="{43FE9C9F-819D-4085-81A1-35D97BA697EA}">
            <xm:f>$E$54=FAListas!$C$62</xm:f>
            <x14:dxf>
              <font>
                <color rgb="FF000000"/>
              </font>
            </x14:dxf>
          </x14:cfRule>
          <xm:sqref>F54:G54</xm:sqref>
        </x14:conditionalFormatting>
        <x14:conditionalFormatting xmlns:xm="http://schemas.microsoft.com/office/excel/2006/main">
          <x14:cfRule type="expression" priority="13" id="{DE776671-BC6E-4FAA-A1EB-13E84D2ABCDF}">
            <xm:f>$E$54=FAListas!$C$62</xm:f>
            <x14:dxf>
              <fill>
                <patternFill>
                  <bgColor theme="0"/>
                </patternFill>
              </fill>
            </x14:dxf>
          </x14:cfRule>
          <xm:sqref>F56:G62</xm:sqref>
        </x14:conditionalFormatting>
        <x14:conditionalFormatting xmlns:xm="http://schemas.microsoft.com/office/excel/2006/main">
          <x14:cfRule type="expression" priority="37" id="{4A281512-E5A7-49CE-B30B-BC63B39E9F58}">
            <xm:f>FACalc_ferrovia!$C$10=FAListas!#REF!</xm:f>
            <x14:dxf>
              <fill>
                <patternFill>
                  <bgColor theme="1"/>
                </patternFill>
              </fill>
            </x14:dxf>
          </x14:cfRule>
          <xm:sqref>G143</xm:sqref>
        </x14:conditionalFormatting>
        <x14:conditionalFormatting xmlns:xm="http://schemas.microsoft.com/office/excel/2006/main">
          <x14:cfRule type="expression" priority="36" id="{FC2137B4-4BEF-4DFC-8363-528B6A406B47}">
            <xm:f>FACalc_ferrovia!$C$10=FAListas!#REF!</xm:f>
            <x14:dxf>
              <fill>
                <patternFill>
                  <bgColor theme="1"/>
                </patternFill>
              </fill>
            </x14:dxf>
          </x14:cfRule>
          <xm:sqref>G146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303C772-BBC0-40D3-929C-40C257FD0DD0}">
          <x14:formula1>
            <xm:f>FAListas!$C$5:$C$14</xm:f>
          </x14:formula1>
          <xm:sqref>F63:G63</xm:sqref>
        </x14:dataValidation>
        <x14:dataValidation type="list" allowBlank="1" showInputMessage="1" showErrorMessage="1" xr:uid="{785877B0-FCFB-4436-8931-DD1EBCC57C66}">
          <x14:formula1>
            <xm:f>FAListas!$C$55:$C$57</xm:f>
          </x14:formula1>
          <xm:sqref>E23:E25 E27:E29 E33</xm:sqref>
        </x14:dataValidation>
        <x14:dataValidation type="list" allowBlank="1" showInputMessage="1" showErrorMessage="1" xr:uid="{1B8A1478-E007-4D7D-BC0F-08CBA22E4991}">
          <x14:formula1>
            <xm:f>FAListas!$C$15:$C$17</xm:f>
          </x14:formula1>
          <xm:sqref>E100</xm:sqref>
        </x14:dataValidation>
        <x14:dataValidation type="list" allowBlank="1" showInputMessage="1" showErrorMessage="1" xr:uid="{A45E9A6A-7925-404B-9404-73AA34823A27}">
          <x14:formula1>
            <xm:f>FAListas!$C$61:$C$63</xm:f>
          </x14:formula1>
          <xm:sqref>E54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B9280-142A-414B-A4D4-9213594AE31C}">
  <sheetPr codeName="Sheet10"/>
  <dimension ref="B3:D69"/>
  <sheetViews>
    <sheetView showGridLines="0" topLeftCell="A31" workbookViewId="0">
      <selection activeCell="C31" sqref="C31"/>
    </sheetView>
  </sheetViews>
  <sheetFormatPr defaultRowHeight="15" x14ac:dyDescent="0.25"/>
  <cols>
    <col min="2" max="2" width="41.7109375" customWidth="1"/>
    <col min="3" max="3" width="72.7109375" style="2" customWidth="1"/>
    <col min="4" max="4" width="29.5703125" customWidth="1"/>
    <col min="5" max="5" width="16.28515625" customWidth="1"/>
  </cols>
  <sheetData>
    <row r="3" spans="2:4" ht="39" x14ac:dyDescent="0.25">
      <c r="B3" s="66" t="s">
        <v>150</v>
      </c>
      <c r="C3" s="552"/>
    </row>
    <row r="5" spans="2:4" ht="15.75" x14ac:dyDescent="0.25">
      <c r="B5" s="1555" t="s">
        <v>281</v>
      </c>
      <c r="C5" s="78" t="s">
        <v>146</v>
      </c>
      <c r="D5" s="2"/>
    </row>
    <row r="6" spans="2:4" ht="14.45" customHeight="1" x14ac:dyDescent="0.25">
      <c r="B6" s="1555"/>
      <c r="C6" s="551" t="s">
        <v>805</v>
      </c>
      <c r="D6" s="2"/>
    </row>
    <row r="7" spans="2:4" ht="14.45" customHeight="1" x14ac:dyDescent="0.25">
      <c r="B7" s="1555"/>
      <c r="C7" s="551" t="s">
        <v>818</v>
      </c>
      <c r="D7" s="2"/>
    </row>
    <row r="8" spans="2:4" ht="14.45" customHeight="1" x14ac:dyDescent="0.25">
      <c r="B8" s="1555"/>
      <c r="C8" s="551" t="s">
        <v>806</v>
      </c>
      <c r="D8" s="2"/>
    </row>
    <row r="9" spans="2:4" ht="32.450000000000003" customHeight="1" x14ac:dyDescent="0.25">
      <c r="B9" s="1555"/>
      <c r="C9" s="551" t="s">
        <v>807</v>
      </c>
      <c r="D9" s="2"/>
    </row>
    <row r="10" spans="2:4" ht="14.45" customHeight="1" x14ac:dyDescent="0.25">
      <c r="B10" s="1555"/>
      <c r="C10" s="551" t="s">
        <v>808</v>
      </c>
      <c r="D10" s="2"/>
    </row>
    <row r="11" spans="2:4" ht="14.45" customHeight="1" x14ac:dyDescent="0.25">
      <c r="B11" s="1555"/>
      <c r="C11" s="551" t="s">
        <v>809</v>
      </c>
      <c r="D11" s="2"/>
    </row>
    <row r="12" spans="2:4" ht="14.45" customHeight="1" x14ac:dyDescent="0.25">
      <c r="B12" s="1555"/>
      <c r="C12" s="551" t="s">
        <v>810</v>
      </c>
      <c r="D12" s="2"/>
    </row>
    <row r="13" spans="2:4" ht="14.45" customHeight="1" x14ac:dyDescent="0.25">
      <c r="B13" s="1555"/>
      <c r="C13" s="551" t="s">
        <v>811</v>
      </c>
      <c r="D13" s="2"/>
    </row>
    <row r="14" spans="2:4" ht="14.45" customHeight="1" x14ac:dyDescent="0.25">
      <c r="B14" s="1555"/>
      <c r="C14" s="551" t="s">
        <v>812</v>
      </c>
      <c r="D14" s="2"/>
    </row>
    <row r="15" spans="2:4" ht="15.75" x14ac:dyDescent="0.25">
      <c r="B15" s="1556" t="s">
        <v>151</v>
      </c>
      <c r="C15" s="78" t="s">
        <v>585</v>
      </c>
    </row>
    <row r="16" spans="2:4" ht="15.75" x14ac:dyDescent="0.25">
      <c r="B16" s="1557"/>
      <c r="C16" s="72" t="s">
        <v>83</v>
      </c>
    </row>
    <row r="17" spans="2:4" ht="15.75" x14ac:dyDescent="0.25">
      <c r="B17" s="1558"/>
      <c r="C17" s="72" t="s">
        <v>84</v>
      </c>
    </row>
    <row r="18" spans="2:4" ht="15.75" x14ac:dyDescent="0.25">
      <c r="B18" s="1556" t="s">
        <v>528</v>
      </c>
      <c r="C18" s="78" t="s">
        <v>146</v>
      </c>
      <c r="D18" s="203" t="s">
        <v>272</v>
      </c>
    </row>
    <row r="19" spans="2:4" ht="15.75" x14ac:dyDescent="0.25">
      <c r="B19" s="1557"/>
      <c r="C19" s="78" t="s">
        <v>527</v>
      </c>
      <c r="D19" s="2">
        <f>'Fatores de Emissão'!E51</f>
        <v>3.6999999999999998E-2</v>
      </c>
    </row>
    <row r="20" spans="2:4" ht="15.75" x14ac:dyDescent="0.25">
      <c r="B20" s="1557"/>
      <c r="C20" s="71" t="s">
        <v>145</v>
      </c>
      <c r="D20" s="2">
        <f>'Fatores de Emissão'!E51</f>
        <v>3.6999999999999998E-2</v>
      </c>
    </row>
    <row r="21" spans="2:4" ht="15.75" x14ac:dyDescent="0.25">
      <c r="B21" s="1557"/>
      <c r="C21" s="71" t="s">
        <v>520</v>
      </c>
      <c r="D21" s="2">
        <f>'Fatores de Emissão'!$E$51</f>
        <v>3.6999999999999998E-2</v>
      </c>
    </row>
    <row r="22" spans="2:4" ht="15.75" x14ac:dyDescent="0.25">
      <c r="B22" s="1557"/>
      <c r="C22" s="71" t="s">
        <v>144</v>
      </c>
      <c r="D22" s="2">
        <f>'Fatores de Emissão'!$E$51</f>
        <v>3.6999999999999998E-2</v>
      </c>
    </row>
    <row r="23" spans="2:4" ht="15.75" x14ac:dyDescent="0.25">
      <c r="B23" s="1557"/>
      <c r="C23" s="71" t="s">
        <v>518</v>
      </c>
      <c r="D23" s="2">
        <f>'Fatores de Emissão'!E50</f>
        <v>1E-3</v>
      </c>
    </row>
    <row r="24" spans="2:4" ht="15.75" x14ac:dyDescent="0.25">
      <c r="B24" s="1557"/>
      <c r="C24" s="71" t="s">
        <v>143</v>
      </c>
      <c r="D24" s="2">
        <f>'Fatores de Emissão'!$E$51</f>
        <v>3.6999999999999998E-2</v>
      </c>
    </row>
    <row r="25" spans="2:4" ht="15.75" x14ac:dyDescent="0.25">
      <c r="B25" s="1557"/>
      <c r="C25" s="71" t="s">
        <v>519</v>
      </c>
      <c r="D25" s="2">
        <f>'Fatores de Emissão'!$E$51</f>
        <v>3.6999999999999998E-2</v>
      </c>
    </row>
    <row r="26" spans="2:4" ht="15.75" x14ac:dyDescent="0.25">
      <c r="B26" s="1557"/>
      <c r="C26" s="71" t="s">
        <v>526</v>
      </c>
      <c r="D26" s="2">
        <v>2.7E-2</v>
      </c>
    </row>
    <row r="27" spans="2:4" ht="15.75" x14ac:dyDescent="0.25">
      <c r="B27" s="1557"/>
      <c r="C27" s="71" t="s">
        <v>516</v>
      </c>
      <c r="D27" s="2">
        <f>'Fatores de Emissão'!$E$51</f>
        <v>3.6999999999999998E-2</v>
      </c>
    </row>
    <row r="28" spans="2:4" ht="15.75" x14ac:dyDescent="0.25">
      <c r="B28" s="1558"/>
      <c r="C28" s="71" t="s">
        <v>517</v>
      </c>
      <c r="D28" s="2">
        <f>'Fatores de Emissão'!$E$51</f>
        <v>3.6999999999999998E-2</v>
      </c>
    </row>
    <row r="29" spans="2:4" ht="15.75" x14ac:dyDescent="0.25">
      <c r="B29" s="274" t="s">
        <v>309</v>
      </c>
      <c r="C29" s="275" t="s">
        <v>146</v>
      </c>
    </row>
    <row r="30" spans="2:4" ht="15.75" x14ac:dyDescent="0.25">
      <c r="B30" s="276"/>
      <c r="C30" s="275" t="s">
        <v>196</v>
      </c>
    </row>
    <row r="31" spans="2:4" ht="15.75" x14ac:dyDescent="0.25">
      <c r="B31" s="276"/>
      <c r="C31" s="275" t="s">
        <v>700</v>
      </c>
    </row>
    <row r="32" spans="2:4" ht="15.75" x14ac:dyDescent="0.25">
      <c r="B32" s="272" t="s">
        <v>310</v>
      </c>
      <c r="C32" s="71" t="s">
        <v>146</v>
      </c>
    </row>
    <row r="33" spans="2:3" ht="15.75" x14ac:dyDescent="0.25">
      <c r="B33" s="273"/>
      <c r="C33" s="71" t="s">
        <v>196</v>
      </c>
    </row>
    <row r="34" spans="2:3" ht="15.75" x14ac:dyDescent="0.25">
      <c r="B34" s="273"/>
      <c r="C34" s="71" t="s">
        <v>701</v>
      </c>
    </row>
    <row r="35" spans="2:3" ht="15.75" x14ac:dyDescent="0.25">
      <c r="B35" s="273"/>
      <c r="C35" s="71" t="s">
        <v>702</v>
      </c>
    </row>
    <row r="36" spans="2:3" ht="31.15" customHeight="1" x14ac:dyDescent="0.25">
      <c r="B36" s="274" t="s">
        <v>311</v>
      </c>
      <c r="C36" s="275" t="s">
        <v>146</v>
      </c>
    </row>
    <row r="37" spans="2:3" ht="15.75" x14ac:dyDescent="0.25">
      <c r="B37" s="276"/>
      <c r="C37" s="275" t="s">
        <v>196</v>
      </c>
    </row>
    <row r="38" spans="2:3" ht="15.75" x14ac:dyDescent="0.25">
      <c r="B38" s="276"/>
      <c r="C38" s="275" t="s">
        <v>700</v>
      </c>
    </row>
    <row r="39" spans="2:3" ht="15.75" x14ac:dyDescent="0.25">
      <c r="B39" s="276"/>
      <c r="C39" s="275" t="s">
        <v>703</v>
      </c>
    </row>
    <row r="40" spans="2:3" ht="15.75" x14ac:dyDescent="0.25">
      <c r="B40" s="272" t="s">
        <v>312</v>
      </c>
      <c r="C40" s="71" t="s">
        <v>146</v>
      </c>
    </row>
    <row r="41" spans="2:3" ht="15.75" x14ac:dyDescent="0.25">
      <c r="B41" s="273"/>
      <c r="C41" s="71" t="s">
        <v>196</v>
      </c>
    </row>
    <row r="42" spans="2:3" ht="15.75" x14ac:dyDescent="0.25">
      <c r="B42" s="273"/>
      <c r="C42" s="71" t="s">
        <v>704</v>
      </c>
    </row>
    <row r="43" spans="2:3" ht="15.75" x14ac:dyDescent="0.25">
      <c r="B43" s="273"/>
      <c r="C43" s="71" t="s">
        <v>702</v>
      </c>
    </row>
    <row r="44" spans="2:3" ht="31.15" customHeight="1" x14ac:dyDescent="0.25">
      <c r="B44" s="1560" t="s">
        <v>313</v>
      </c>
      <c r="C44" s="275" t="s">
        <v>146</v>
      </c>
    </row>
    <row r="45" spans="2:3" ht="15.75" x14ac:dyDescent="0.25">
      <c r="B45" s="1561"/>
      <c r="C45" s="275" t="s">
        <v>196</v>
      </c>
    </row>
    <row r="46" spans="2:3" ht="15.75" x14ac:dyDescent="0.25">
      <c r="B46" s="1561"/>
      <c r="C46" s="275" t="s">
        <v>700</v>
      </c>
    </row>
    <row r="47" spans="2:3" ht="16.5" thickBot="1" x14ac:dyDescent="0.3">
      <c r="B47" s="1561"/>
      <c r="C47" s="1158" t="s">
        <v>703</v>
      </c>
    </row>
    <row r="48" spans="2:3" ht="15.75" x14ac:dyDescent="0.25">
      <c r="B48" s="1549" t="s">
        <v>314</v>
      </c>
      <c r="C48" s="1153" t="s">
        <v>146</v>
      </c>
    </row>
    <row r="49" spans="2:3" ht="15.75" x14ac:dyDescent="0.25">
      <c r="B49" s="1550"/>
      <c r="C49" s="1156" t="s">
        <v>196</v>
      </c>
    </row>
    <row r="50" spans="2:3" ht="15.75" x14ac:dyDescent="0.25">
      <c r="B50" s="1550"/>
      <c r="C50" s="1156" t="s">
        <v>701</v>
      </c>
    </row>
    <row r="51" spans="2:3" ht="16.5" thickBot="1" x14ac:dyDescent="0.3">
      <c r="B51" s="1551"/>
      <c r="C51" s="1157" t="s">
        <v>702</v>
      </c>
    </row>
    <row r="52" spans="2:3" ht="31.15" hidden="1" customHeight="1" x14ac:dyDescent="0.25">
      <c r="B52" s="1559" t="s">
        <v>197</v>
      </c>
      <c r="C52" s="1159" t="s">
        <v>146</v>
      </c>
    </row>
    <row r="53" spans="2:3" ht="15.75" hidden="1" x14ac:dyDescent="0.25">
      <c r="B53" s="1559"/>
      <c r="C53" s="71" t="s">
        <v>196</v>
      </c>
    </row>
    <row r="54" spans="2:3" ht="15.75" hidden="1" x14ac:dyDescent="0.25">
      <c r="B54" s="1559"/>
      <c r="C54" s="77" t="s">
        <v>705</v>
      </c>
    </row>
    <row r="55" spans="2:3" ht="15.75" x14ac:dyDescent="0.25">
      <c r="B55" s="1549" t="s">
        <v>729</v>
      </c>
      <c r="C55" s="1153" t="s">
        <v>146</v>
      </c>
    </row>
    <row r="56" spans="2:3" ht="15.75" x14ac:dyDescent="0.25">
      <c r="B56" s="1550"/>
      <c r="C56" s="1156" t="s">
        <v>196</v>
      </c>
    </row>
    <row r="57" spans="2:3" ht="16.5" thickBot="1" x14ac:dyDescent="0.3">
      <c r="B57" s="1551"/>
      <c r="C57" s="1157" t="s">
        <v>730</v>
      </c>
    </row>
    <row r="58" spans="2:3" ht="34.15" customHeight="1" x14ac:dyDescent="0.25">
      <c r="B58" s="1552" t="s">
        <v>199</v>
      </c>
      <c r="C58" s="1153" t="s">
        <v>146</v>
      </c>
    </row>
    <row r="59" spans="2:3" ht="15.75" x14ac:dyDescent="0.25">
      <c r="B59" s="1553"/>
      <c r="C59" s="1156" t="s">
        <v>843</v>
      </c>
    </row>
    <row r="60" spans="2:3" ht="16.5" thickBot="1" x14ac:dyDescent="0.3">
      <c r="B60" s="1554"/>
      <c r="C60" s="1157" t="s">
        <v>844</v>
      </c>
    </row>
    <row r="61" spans="2:3" ht="15.75" x14ac:dyDescent="0.25">
      <c r="B61" s="1552" t="s">
        <v>1008</v>
      </c>
      <c r="C61" s="1153" t="s">
        <v>146</v>
      </c>
    </row>
    <row r="62" spans="2:3" ht="15.75" x14ac:dyDescent="0.25">
      <c r="B62" s="1553"/>
      <c r="C62" s="1156" t="s">
        <v>1006</v>
      </c>
    </row>
    <row r="63" spans="2:3" ht="16.5" thickBot="1" x14ac:dyDescent="0.3">
      <c r="B63" s="1554"/>
      <c r="C63" s="1157" t="s">
        <v>1007</v>
      </c>
    </row>
    <row r="64" spans="2:3" ht="28.9" customHeight="1" x14ac:dyDescent="0.25">
      <c r="B64" s="1546" t="s">
        <v>1269</v>
      </c>
      <c r="C64" s="1153" t="s">
        <v>146</v>
      </c>
    </row>
    <row r="65" spans="2:3" x14ac:dyDescent="0.25">
      <c r="B65" s="1547"/>
      <c r="C65" s="1154" t="s">
        <v>339</v>
      </c>
    </row>
    <row r="66" spans="2:3" ht="15.75" thickBot="1" x14ac:dyDescent="0.3">
      <c r="B66" s="1548"/>
      <c r="C66" s="1155" t="s">
        <v>1270</v>
      </c>
    </row>
    <row r="67" spans="2:3" ht="15.6" customHeight="1" x14ac:dyDescent="0.25">
      <c r="B67" s="1546" t="s">
        <v>1271</v>
      </c>
      <c r="C67" s="1153" t="s">
        <v>146</v>
      </c>
    </row>
    <row r="68" spans="2:3" x14ac:dyDescent="0.25">
      <c r="B68" s="1547"/>
      <c r="C68" s="1154" t="s">
        <v>339</v>
      </c>
    </row>
    <row r="69" spans="2:3" ht="15.75" thickBot="1" x14ac:dyDescent="0.3">
      <c r="B69" s="1548"/>
      <c r="C69" s="1155" t="s">
        <v>1272</v>
      </c>
    </row>
  </sheetData>
  <mergeCells count="11">
    <mergeCell ref="B64:B66"/>
    <mergeCell ref="B67:B69"/>
    <mergeCell ref="B48:B51"/>
    <mergeCell ref="B61:B63"/>
    <mergeCell ref="B5:B14"/>
    <mergeCell ref="B15:B17"/>
    <mergeCell ref="B52:B54"/>
    <mergeCell ref="B55:B57"/>
    <mergeCell ref="B58:B60"/>
    <mergeCell ref="B18:B28"/>
    <mergeCell ref="B44:B47"/>
  </mergeCells>
  <dataValidations count="1">
    <dataValidation type="list" allowBlank="1" showInputMessage="1" showErrorMessage="1" sqref="C20 C23:C28" xr:uid="{AD3A9237-7E67-41C3-AEF7-9766075FCECC}">
      <formula1>$C$20:$C$28</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B6EAF-8065-4F34-8747-AE1CEC825E35}">
  <dimension ref="A1:AE169"/>
  <sheetViews>
    <sheetView showGridLines="0" topLeftCell="A151" zoomScale="70" zoomScaleNormal="70" workbookViewId="0">
      <selection activeCell="Y14" sqref="Y14"/>
    </sheetView>
  </sheetViews>
  <sheetFormatPr defaultRowHeight="15" x14ac:dyDescent="0.25"/>
  <cols>
    <col min="1" max="1" width="11.42578125" bestFit="1" customWidth="1"/>
    <col min="2" max="2" width="48" customWidth="1"/>
    <col min="3" max="3" width="16.28515625" customWidth="1"/>
    <col min="4" max="4" width="38.42578125" style="1" customWidth="1"/>
    <col min="5" max="5" width="37.7109375" style="1" customWidth="1"/>
    <col min="6" max="6" width="22.7109375" style="1" customWidth="1"/>
    <col min="7" max="7" width="48" style="1" customWidth="1"/>
    <col min="8" max="8" width="23" style="1" customWidth="1"/>
    <col min="9" max="9" width="38.42578125" style="1" customWidth="1"/>
    <col min="10" max="10" width="37.7109375" style="1" customWidth="1"/>
    <col min="11" max="12" width="17.7109375" style="1" customWidth="1"/>
    <col min="13" max="13" width="16.28515625" style="1" customWidth="1"/>
    <col min="14" max="15" width="20.7109375" style="1" customWidth="1"/>
    <col min="16" max="23" width="20.7109375" customWidth="1"/>
    <col min="24" max="24" width="51.5703125" customWidth="1"/>
    <col min="25" max="25" width="29.28515625" customWidth="1"/>
    <col min="26" max="32" width="20.7109375" customWidth="1"/>
  </cols>
  <sheetData>
    <row r="1" spans="1:31" x14ac:dyDescent="0.25">
      <c r="I1" s="104"/>
    </row>
    <row r="2" spans="1:31" x14ac:dyDescent="0.25">
      <c r="I2" s="104"/>
    </row>
    <row r="5" spans="1:31" s="121" customFormat="1" ht="12.75" x14ac:dyDescent="0.2">
      <c r="A5" s="120" t="s">
        <v>1032</v>
      </c>
      <c r="D5" s="122"/>
      <c r="E5" s="122"/>
      <c r="F5" s="122"/>
      <c r="G5" s="122"/>
      <c r="H5" s="122"/>
      <c r="I5" s="122"/>
      <c r="J5" s="122"/>
      <c r="K5" s="122"/>
      <c r="L5" s="122"/>
      <c r="M5" s="122"/>
      <c r="N5" s="122"/>
      <c r="O5" s="122"/>
    </row>
    <row r="6" spans="1:31" s="123" customFormat="1" ht="12.75" x14ac:dyDescent="0.2">
      <c r="D6" s="124"/>
      <c r="E6" s="124"/>
      <c r="F6" s="124"/>
      <c r="G6" s="124"/>
      <c r="H6" s="124"/>
      <c r="I6" s="124"/>
      <c r="J6" s="124"/>
      <c r="K6" s="124"/>
      <c r="L6" s="124"/>
      <c r="M6" s="124"/>
      <c r="N6" s="124"/>
      <c r="O6" s="124"/>
    </row>
    <row r="7" spans="1:31" s="125" customFormat="1" ht="12.75" x14ac:dyDescent="0.2">
      <c r="B7" s="126" t="s">
        <v>1038</v>
      </c>
      <c r="D7" s="127"/>
      <c r="E7" s="127"/>
      <c r="F7" s="127"/>
      <c r="G7" s="127"/>
      <c r="H7" s="127"/>
      <c r="I7" s="127"/>
      <c r="J7" s="127"/>
      <c r="K7" s="127"/>
      <c r="L7" s="127"/>
      <c r="M7" s="127"/>
      <c r="N7" s="127"/>
      <c r="O7" s="127"/>
    </row>
    <row r="8" spans="1:31" s="123" customFormat="1" ht="12.75" x14ac:dyDescent="0.2">
      <c r="B8" s="247"/>
      <c r="D8" s="124"/>
      <c r="E8" s="124"/>
      <c r="F8" s="124"/>
      <c r="G8" s="124"/>
      <c r="H8" s="124"/>
      <c r="I8" s="124"/>
      <c r="J8" s="124"/>
      <c r="K8" s="124"/>
      <c r="L8" s="124"/>
      <c r="M8" s="124"/>
      <c r="N8" s="124"/>
      <c r="O8" s="124"/>
      <c r="Z8" s="1488" t="s">
        <v>474</v>
      </c>
      <c r="AA8" s="1488"/>
      <c r="AB8" s="1488"/>
      <c r="AC8" s="1488"/>
      <c r="AD8" s="1488"/>
    </row>
    <row r="9" spans="1:31" s="123" customFormat="1" ht="12.75" x14ac:dyDescent="0.2">
      <c r="B9" s="247"/>
      <c r="D9" s="124"/>
      <c r="E9" s="124"/>
      <c r="F9" s="124"/>
      <c r="G9" s="124" t="s">
        <v>284</v>
      </c>
      <c r="H9" s="124"/>
      <c r="I9" s="124"/>
      <c r="J9" s="124"/>
      <c r="K9" s="124"/>
      <c r="L9" s="124"/>
      <c r="M9" s="124"/>
      <c r="N9" s="124"/>
      <c r="O9" s="124"/>
    </row>
    <row r="10" spans="1:31" s="123" customFormat="1" ht="12.75" x14ac:dyDescent="0.2">
      <c r="B10" s="247"/>
      <c r="D10" s="124"/>
      <c r="E10" s="124"/>
      <c r="F10" s="124"/>
      <c r="G10" s="124"/>
      <c r="H10" s="124"/>
      <c r="I10" s="124"/>
      <c r="J10" s="124"/>
      <c r="K10" s="124"/>
      <c r="L10" s="124"/>
      <c r="M10" s="124"/>
      <c r="N10" s="124"/>
      <c r="O10" s="124"/>
      <c r="Z10" s="123" t="str">
        <f>IFERROR('IC_todos os projetos'!#REF!+2,"0")</f>
        <v>0</v>
      </c>
      <c r="AA10" s="123">
        <f>IFERROR('IC_todos os projetos'!F39+2,"0")</f>
        <v>2</v>
      </c>
      <c r="AB10" s="123" t="str">
        <f>IFERROR('IC_todos os projetos'!#REF!+2,"0")</f>
        <v>0</v>
      </c>
      <c r="AC10" s="123" t="str">
        <f>IFERROR('IC_todos os projetos'!#REF!+2,"0")</f>
        <v>0</v>
      </c>
      <c r="AD10" s="123">
        <f>IFERROR('IC_todos os projetos'!J112+2,"0")</f>
        <v>2</v>
      </c>
    </row>
    <row r="11" spans="1:31" s="123" customFormat="1" ht="12.75" x14ac:dyDescent="0.2">
      <c r="B11" s="112" t="s">
        <v>114</v>
      </c>
      <c r="C11" s="111" t="s">
        <v>86</v>
      </c>
      <c r="D11" s="108" t="s">
        <v>126</v>
      </c>
      <c r="E11" s="124"/>
      <c r="F11" s="124"/>
      <c r="G11" s="124"/>
      <c r="H11" s="124"/>
      <c r="I11" s="124"/>
      <c r="J11" s="124"/>
      <c r="K11" s="124"/>
      <c r="L11" s="124"/>
      <c r="M11" s="124"/>
      <c r="N11" s="124"/>
      <c r="O11" s="124"/>
    </row>
    <row r="12" spans="1:31" s="128" customFormat="1" ht="54" customHeight="1" x14ac:dyDescent="0.2">
      <c r="B12" s="107" t="s">
        <v>190</v>
      </c>
      <c r="C12" s="109" t="str">
        <f>IFERROR(D12+2,"0")</f>
        <v>0</v>
      </c>
      <c r="D12" s="110" t="str">
        <f>'ID_Identificação do projeto'!C14</f>
        <v>AAAA</v>
      </c>
      <c r="E12" s="101"/>
      <c r="F12" s="621" t="s">
        <v>114</v>
      </c>
      <c r="G12" s="621" t="s">
        <v>1055</v>
      </c>
      <c r="H12" s="621" t="s">
        <v>1054</v>
      </c>
      <c r="I12" s="621" t="s">
        <v>283</v>
      </c>
      <c r="J12" s="621" t="s">
        <v>872</v>
      </c>
      <c r="K12" s="622" t="s">
        <v>720</v>
      </c>
      <c r="L12" s="608"/>
      <c r="M12" s="621" t="s">
        <v>1040</v>
      </c>
      <c r="N12" s="622" t="s">
        <v>886</v>
      </c>
      <c r="O12" s="610"/>
      <c r="P12" s="129"/>
      <c r="Q12" s="129"/>
      <c r="R12" s="129"/>
      <c r="S12" s="129"/>
      <c r="T12" s="129"/>
      <c r="U12" s="129" t="s">
        <v>200</v>
      </c>
      <c r="V12" s="129"/>
      <c r="W12" s="117" t="s">
        <v>20</v>
      </c>
      <c r="X12" s="117" t="s">
        <v>201</v>
      </c>
      <c r="Y12" s="906" t="s">
        <v>251</v>
      </c>
      <c r="Z12" s="907"/>
      <c r="AA12" s="907"/>
      <c r="AB12" s="907"/>
      <c r="AC12" s="907"/>
      <c r="AD12" s="907"/>
      <c r="AE12" s="907"/>
    </row>
    <row r="13" spans="1:31" s="128" customFormat="1" ht="42" customHeight="1" x14ac:dyDescent="0.2">
      <c r="B13" s="107" t="s">
        <v>293</v>
      </c>
      <c r="C13" s="109" t="str">
        <f>'ID_Identificação do projeto'!$C$16</f>
        <v>Selecionar uma opção</v>
      </c>
      <c r="D13" s="110"/>
      <c r="E13" s="101"/>
      <c r="F13" s="824" t="s">
        <v>1037</v>
      </c>
      <c r="G13" s="624">
        <f>C27</f>
        <v>0</v>
      </c>
      <c r="H13" s="825"/>
      <c r="I13" s="630">
        <f>C15</f>
        <v>0</v>
      </c>
      <c r="J13" s="826"/>
      <c r="K13" s="624">
        <f>IFERROR((G13*I13)/1000,"")</f>
        <v>0</v>
      </c>
      <c r="L13" s="609"/>
      <c r="M13" s="626"/>
      <c r="N13" s="1255">
        <f>K13</f>
        <v>0</v>
      </c>
      <c r="O13" s="614"/>
      <c r="P13" s="129"/>
      <c r="Q13" s="129"/>
      <c r="R13" s="129"/>
      <c r="S13" s="129"/>
      <c r="T13" s="129"/>
      <c r="U13" s="129"/>
      <c r="V13" s="129"/>
      <c r="W13" s="118">
        <v>2025</v>
      </c>
      <c r="X13" s="140">
        <v>165</v>
      </c>
      <c r="Y13" s="106" t="e">
        <f>VLOOKUP(C12,W13:X31,2,FALSE)</f>
        <v>#N/A</v>
      </c>
      <c r="Z13" s="106"/>
      <c r="AA13" s="106"/>
      <c r="AB13" s="106"/>
      <c r="AC13" s="106"/>
      <c r="AD13" s="106"/>
    </row>
    <row r="14" spans="1:31" s="128" customFormat="1" ht="40.15" customHeight="1" x14ac:dyDescent="0.2">
      <c r="B14" s="259" t="s">
        <v>142</v>
      </c>
      <c r="C14" s="102" t="str">
        <f>'ID_Identificação do projeto'!$C$18</f>
        <v>Selecionar uma opção</v>
      </c>
      <c r="E14" s="101"/>
      <c r="F14" s="827" t="str">
        <f t="shared" ref="F14:F20" si="0">B31</f>
        <v>Automóvel a combustão- gasóleo</v>
      </c>
      <c r="G14" s="624" t="str">
        <f>IFERROR(IF(FACalc_parquesestacionamento!$D$30=FAListas!$C$62,($C$28/1.6)*C31,"0"),"")</f>
        <v>0</v>
      </c>
      <c r="H14" s="624" t="str">
        <f>IFERROR(IF(FACalc_parquesestacionamento!$D$30=FAListas!$C$63,($C$28/1.6)*C45,"0"),"")</f>
        <v>0</v>
      </c>
      <c r="I14" s="630" t="str">
        <f>IFERROR(IF(D19=FAListas!$C$56, C19,"0"),"")</f>
        <v>0</v>
      </c>
      <c r="J14" s="826" t="str">
        <f>IFERROR(IF(D19=FAListas!$C$57,D45,"0"),"")</f>
        <v>0</v>
      </c>
      <c r="K14" s="625">
        <f t="shared" ref="K14:K20" si="1">IFERROR(((G14*I14)+(G14*J14)+(H14*I14)+(H14*J14))/1000,"")</f>
        <v>0</v>
      </c>
      <c r="L14" s="612"/>
      <c r="M14" s="626">
        <f>D108</f>
        <v>3.0562499999999999E-2</v>
      </c>
      <c r="N14" s="626">
        <f t="shared" ref="N14:N20" si="2">IFERROR(K14+(((G14*M14)+(H14*M14))/1000),"")</f>
        <v>0</v>
      </c>
      <c r="O14" s="611"/>
      <c r="P14" s="129"/>
      <c r="Q14" s="129"/>
      <c r="R14" s="129"/>
      <c r="S14" s="129"/>
      <c r="T14" s="129"/>
      <c r="U14" s="129"/>
      <c r="V14" s="129"/>
      <c r="W14" s="118">
        <v>2026</v>
      </c>
      <c r="X14" s="140">
        <v>182</v>
      </c>
    </row>
    <row r="15" spans="1:31" s="128" customFormat="1" ht="40.15" customHeight="1" x14ac:dyDescent="0.2">
      <c r="B15" s="107" t="str">
        <f>'TM5_parques de estacionamento'!C21</f>
        <v>Fator de emissão de GEE (eletricidade)</v>
      </c>
      <c r="C15" s="109">
        <f>'TM5_parques de estacionamento'!F21</f>
        <v>0</v>
      </c>
      <c r="D15" s="110">
        <v>0</v>
      </c>
      <c r="E15" s="101"/>
      <c r="F15" s="827" t="str">
        <f t="shared" si="0"/>
        <v>Automóvel a combustão- gasolina</v>
      </c>
      <c r="G15" s="624" t="str">
        <f>IFERROR(IF(FACalc_parquesestacionamento!$D$30=FAListas!$C$62,($C$28/1.6)*C32,"0"),"")</f>
        <v>0</v>
      </c>
      <c r="H15" s="624" t="str">
        <f>IFERROR(IF(FACalc_parquesestacionamento!$D$30=FAListas!$C$63,($C$28/1.6)*C46,"0"),"")</f>
        <v>0</v>
      </c>
      <c r="I15" s="630" t="str">
        <f>IFERROR(IF(D20=FAListas!$C$56, C20,"0"),"")</f>
        <v>0</v>
      </c>
      <c r="J15" s="826" t="str">
        <f>IFERROR(IF(D20=FAListas!$C$57,D46,"0"),"")</f>
        <v>0</v>
      </c>
      <c r="K15" s="625">
        <f t="shared" si="1"/>
        <v>0</v>
      </c>
      <c r="L15" s="612"/>
      <c r="M15" s="626">
        <f>D109</f>
        <v>3.0562499999999999E-2</v>
      </c>
      <c r="N15" s="626">
        <f t="shared" si="2"/>
        <v>0</v>
      </c>
      <c r="O15" s="611"/>
      <c r="P15" s="129"/>
      <c r="Q15" s="129"/>
      <c r="R15" s="129"/>
      <c r="S15" s="129"/>
      <c r="T15" s="129"/>
      <c r="U15" s="129"/>
      <c r="V15" s="129"/>
      <c r="W15" s="118">
        <v>2027</v>
      </c>
      <c r="X15" s="140">
        <v>199</v>
      </c>
    </row>
    <row r="16" spans="1:31" s="128" customFormat="1" ht="40.15" customHeight="1" x14ac:dyDescent="0.2">
      <c r="B16" s="107" t="str">
        <f>'TM5_parques de estacionamento'!C23</f>
        <v>Fator de emissão de GEE- bateria (iões de lítio)</v>
      </c>
      <c r="C16" s="109">
        <f>'TM5_parques de estacionamento'!F23</f>
        <v>0</v>
      </c>
      <c r="D16" s="110" t="str">
        <f>'TM5_parques de estacionamento'!E23</f>
        <v>Selecionar uma opção</v>
      </c>
      <c r="E16" s="101"/>
      <c r="F16" s="827" t="str">
        <f t="shared" si="0"/>
        <v>Automóvel a combustão- GPL</v>
      </c>
      <c r="G16" s="624" t="str">
        <f>IFERROR(IF(FACalc_parquesestacionamento!$D$30=FAListas!$C$62,($C$28/1.6)*C33,"0"),"")</f>
        <v>0</v>
      </c>
      <c r="H16" s="624" t="str">
        <f>IFERROR(IF(FACalc_parquesestacionamento!$D$30=FAListas!$C$63,($C$28/1.6)*C47,"0"),"")</f>
        <v>0</v>
      </c>
      <c r="I16" s="630" t="str">
        <f>IFERROR(IF(D21=FAListas!$C$56, C21,"0"),"")</f>
        <v>0</v>
      </c>
      <c r="J16" s="826" t="str">
        <f>IFERROR(IF(D21=FAListas!$C$57,D47,"0"),"")</f>
        <v>0</v>
      </c>
      <c r="K16" s="625">
        <f t="shared" si="1"/>
        <v>0</v>
      </c>
      <c r="L16" s="611"/>
      <c r="M16" s="626">
        <f>D110</f>
        <v>3.0562499999999999E-2</v>
      </c>
      <c r="N16" s="626">
        <f t="shared" si="2"/>
        <v>0</v>
      </c>
      <c r="O16" s="614"/>
      <c r="P16" s="129"/>
      <c r="Q16" s="129"/>
      <c r="R16" s="129"/>
      <c r="S16" s="129"/>
      <c r="T16" s="129"/>
      <c r="U16" s="129"/>
      <c r="V16" s="129"/>
      <c r="W16" s="118">
        <v>2028</v>
      </c>
      <c r="X16" s="140">
        <v>216</v>
      </c>
    </row>
    <row r="17" spans="2:24" s="128" customFormat="1" ht="40.15" customHeight="1" x14ac:dyDescent="0.2">
      <c r="B17" s="107" t="str">
        <f>'TM5_parques de estacionamento'!C24</f>
        <v>Fator de emissão de GEE- híbrido (Plug In)</v>
      </c>
      <c r="C17" s="109">
        <f>'TM5_parques de estacionamento'!F24</f>
        <v>0</v>
      </c>
      <c r="D17" s="110" t="str">
        <f>'TM5_parques de estacionamento'!E24</f>
        <v>Selecionar uma opção</v>
      </c>
      <c r="E17" s="101"/>
      <c r="F17" s="827" t="str">
        <f t="shared" si="0"/>
        <v>Automóvel elétrico-bateria (iões de lítio)</v>
      </c>
      <c r="G17" s="624" t="str">
        <f>IFERROR(IF(FACalc_parquesestacionamento!$D$30=FAListas!$C$62,($C$28/1.6)*C34,"0"),"")</f>
        <v>0</v>
      </c>
      <c r="H17" s="624" t="str">
        <f>IFERROR(IF(FACalc_parquesestacionamento!$D$30=FAListas!$C$63,($C$28/1.6)*C48,"0"),"")</f>
        <v>0</v>
      </c>
      <c r="I17" s="630" t="str">
        <f>IFERROR(IF(D16=FAListas!$C$56, C16,"0"),"")</f>
        <v>0</v>
      </c>
      <c r="J17" s="826" t="str">
        <f>IFERROR(IF(D16=FAListas!$C$57,D48,"0"),"")</f>
        <v>0</v>
      </c>
      <c r="K17" s="625">
        <f t="shared" si="1"/>
        <v>0</v>
      </c>
      <c r="L17" s="611"/>
      <c r="M17" s="626">
        <f>D111</f>
        <v>8.712499999999998E-2</v>
      </c>
      <c r="N17" s="626">
        <f t="shared" si="2"/>
        <v>0</v>
      </c>
      <c r="O17" s="829"/>
      <c r="R17" s="129"/>
      <c r="S17" s="129"/>
      <c r="T17" s="129"/>
      <c r="U17" s="129"/>
      <c r="V17" s="129"/>
      <c r="W17" s="118">
        <v>2029</v>
      </c>
      <c r="X17" s="140">
        <v>233</v>
      </c>
    </row>
    <row r="18" spans="2:24" s="128" customFormat="1" ht="40.15" customHeight="1" x14ac:dyDescent="0.2">
      <c r="B18" s="107" t="str">
        <f>'TM5_parques de estacionamento'!C25</f>
        <v>Fator de emissão de GEE- híbrido (motor desconhecido)</v>
      </c>
      <c r="C18" s="109">
        <f>'TM5_parques de estacionamento'!F25</f>
        <v>0</v>
      </c>
      <c r="D18" s="110" t="str">
        <f>'TM5_parques de estacionamento'!E25</f>
        <v>Selecionar uma opção</v>
      </c>
      <c r="E18" s="101"/>
      <c r="F18" s="827" t="str">
        <f t="shared" si="0"/>
        <v>Automóvel hibrido (Plug In)</v>
      </c>
      <c r="G18" s="624" t="str">
        <f>IFERROR(IF(FACalc_parquesestacionamento!$D$30=FAListas!$C$62,($C$28/1.6)*C35,"0"),"")</f>
        <v>0</v>
      </c>
      <c r="H18" s="624" t="str">
        <f>IFERROR(IF(FACalc_parquesestacionamento!$D$30=FAListas!$C$63,($C$28/1.6)*C50,"0"),"")</f>
        <v>0</v>
      </c>
      <c r="I18" s="630" t="str">
        <f>IFERROR(IF(D17=FAListas!$C$56, C17,"0"),"")</f>
        <v>0</v>
      </c>
      <c r="J18" s="826" t="str">
        <f>IFERROR(IF(D17=FAListas!$C$57,D50,"0"),"")</f>
        <v>0</v>
      </c>
      <c r="K18" s="625">
        <f t="shared" si="1"/>
        <v>0</v>
      </c>
      <c r="L18" s="828"/>
      <c r="M18" s="626">
        <f>D113</f>
        <v>4.5937499999999992E-2</v>
      </c>
      <c r="N18" s="626">
        <f t="shared" si="2"/>
        <v>0</v>
      </c>
      <c r="O18" s="829"/>
      <c r="P18" s="129"/>
      <c r="Q18" s="129"/>
      <c r="R18" s="129"/>
      <c r="S18" s="129"/>
      <c r="T18" s="129"/>
      <c r="U18" s="129"/>
      <c r="V18" s="129"/>
      <c r="W18" s="118">
        <v>2030</v>
      </c>
      <c r="X18" s="140">
        <v>250</v>
      </c>
    </row>
    <row r="19" spans="2:24" s="128" customFormat="1" ht="40.15" customHeight="1" x14ac:dyDescent="0.2">
      <c r="B19" s="107" t="str">
        <f>'TM5_parques de estacionamento'!C27</f>
        <v>Fator de emissão de GEE- gasóleo</v>
      </c>
      <c r="C19" s="109">
        <f>'TM5_parques de estacionamento'!F27</f>
        <v>0</v>
      </c>
      <c r="D19" s="110" t="str">
        <f>'TM5_parques de estacionamento'!E27</f>
        <v>Selecionar uma opção</v>
      </c>
      <c r="E19" s="101"/>
      <c r="F19" s="827" t="str">
        <f t="shared" si="0"/>
        <v>Automóvel hibrido (motor desconhecido)</v>
      </c>
      <c r="G19" s="624" t="str">
        <f>IFERROR(IF(FACalc_parquesestacionamento!$D$30=FAListas!$C$62,($C$28/1.6)*C36,"0"),"")</f>
        <v>0</v>
      </c>
      <c r="H19" s="624" t="str">
        <f>IFERROR(IF(FACalc_parquesestacionamento!$D$30=FAListas!$C$63,($C$28/1.6)*C49,"0"),"")</f>
        <v>0</v>
      </c>
      <c r="I19" s="630" t="str">
        <f>IFERROR(IF(D18=FAListas!$C$56, C18,"0"),"")</f>
        <v>0</v>
      </c>
      <c r="J19" s="826" t="str">
        <f>IFERROR(IF(D18=FAListas!$C$57,D49,"0"),"")</f>
        <v>0</v>
      </c>
      <c r="K19" s="625">
        <f t="shared" si="1"/>
        <v>0</v>
      </c>
      <c r="L19" s="828"/>
      <c r="M19" s="626">
        <f>D112</f>
        <v>3.0562499999999999E-2</v>
      </c>
      <c r="N19" s="626">
        <f t="shared" si="2"/>
        <v>0</v>
      </c>
      <c r="O19" s="829"/>
      <c r="P19" s="129"/>
      <c r="Q19" s="129"/>
      <c r="R19" s="129"/>
      <c r="S19" s="129"/>
      <c r="T19" s="129"/>
      <c r="U19" s="129"/>
      <c r="V19" s="129"/>
      <c r="W19" s="118">
        <v>2031</v>
      </c>
      <c r="X19" s="140">
        <v>278</v>
      </c>
    </row>
    <row r="20" spans="2:24" s="128" customFormat="1" ht="40.15" customHeight="1" x14ac:dyDescent="0.2">
      <c r="B20" s="387" t="str">
        <f>'TM5_parques de estacionamento'!C28</f>
        <v>Fator de emissão de GEE- gasolina</v>
      </c>
      <c r="C20" s="109">
        <f>'TM5_parques de estacionamento'!F28</f>
        <v>0</v>
      </c>
      <c r="D20" s="110" t="str">
        <f>'TM5_parques de estacionamento'!E28</f>
        <v>Selecionar uma opção</v>
      </c>
      <c r="E20" s="101"/>
      <c r="F20" s="827" t="str">
        <f t="shared" si="0"/>
        <v>Outro tipo de veículo</v>
      </c>
      <c r="G20" s="624" t="str">
        <f>IFERROR(IF(FACalc_parquesestacionamento!$D$30=FAListas!$C$62,($C$28/1.6)*C37,"0"),"")</f>
        <v>0</v>
      </c>
      <c r="H20" s="624" t="str">
        <f>IFERROR(IF(FACalc_parquesestacionamento!$D$30=FAListas!$C$63,($C$28/1.6)*C51,""),"")</f>
        <v/>
      </c>
      <c r="I20" s="630">
        <v>0</v>
      </c>
      <c r="J20" s="625"/>
      <c r="K20" s="625" t="str">
        <f t="shared" si="1"/>
        <v/>
      </c>
      <c r="L20" s="828"/>
      <c r="M20" s="626">
        <f>C23</f>
        <v>0</v>
      </c>
      <c r="N20" s="626" t="str">
        <f t="shared" si="2"/>
        <v/>
      </c>
      <c r="O20" s="829"/>
      <c r="P20" s="129"/>
      <c r="Q20" s="129"/>
      <c r="R20" s="129"/>
      <c r="S20" s="129"/>
      <c r="T20" s="129"/>
      <c r="U20" s="129"/>
      <c r="V20" s="129"/>
      <c r="W20" s="118">
        <v>2032</v>
      </c>
      <c r="X20" s="140">
        <v>306</v>
      </c>
    </row>
    <row r="21" spans="2:24" s="128" customFormat="1" ht="40.15" customHeight="1" x14ac:dyDescent="0.2">
      <c r="B21" s="387" t="str">
        <f>'TM5_parques de estacionamento'!C29</f>
        <v>Fator de emissão de GEE- GPL</v>
      </c>
      <c r="C21" s="109">
        <f>'TM5_parques de estacionamento'!F29</f>
        <v>0</v>
      </c>
      <c r="D21" s="110" t="str">
        <f>'TM5_parques de estacionamento'!E29</f>
        <v>Selecionar uma opção</v>
      </c>
      <c r="E21" s="101"/>
      <c r="F21" s="160"/>
      <c r="G21" s="102"/>
      <c r="H21" s="102"/>
      <c r="I21" s="162"/>
      <c r="J21" s="830" t="s">
        <v>1041</v>
      </c>
      <c r="K21" s="830">
        <f>SUM(K13:K20)</f>
        <v>0</v>
      </c>
      <c r="L21" s="162"/>
      <c r="M21" s="831" t="s">
        <v>1042</v>
      </c>
      <c r="N21" s="830">
        <f>SUM(N13:N20)</f>
        <v>0</v>
      </c>
      <c r="O21" s="347"/>
      <c r="P21" s="129"/>
      <c r="Q21" s="129"/>
      <c r="R21" s="129"/>
      <c r="S21" s="129"/>
      <c r="T21" s="129"/>
      <c r="U21" s="129"/>
      <c r="V21" s="129"/>
      <c r="W21" s="118">
        <v>2033</v>
      </c>
      <c r="X21" s="140">
        <v>334</v>
      </c>
    </row>
    <row r="22" spans="2:24" s="128" customFormat="1" ht="40.15" customHeight="1" x14ac:dyDescent="0.2">
      <c r="B22" s="387" t="str">
        <f>'TM5_parques de estacionamento'!C31</f>
        <v>Fator de emissão de GEE - outro tipo de veículo</v>
      </c>
      <c r="C22" s="109">
        <f>'TM5_parques de estacionamento'!F31</f>
        <v>0</v>
      </c>
      <c r="D22" s="719"/>
      <c r="E22" s="101"/>
      <c r="F22" s="160"/>
      <c r="G22" s="102"/>
      <c r="H22" s="102"/>
      <c r="I22" s="162"/>
      <c r="J22" s="162"/>
      <c r="K22" s="162"/>
      <c r="L22" s="162"/>
      <c r="M22" s="163"/>
      <c r="N22" s="347"/>
      <c r="O22" s="347"/>
      <c r="P22" s="129"/>
      <c r="Q22" s="129"/>
      <c r="R22" s="129"/>
      <c r="S22" s="129"/>
      <c r="T22" s="129"/>
      <c r="U22" s="129"/>
      <c r="V22" s="129"/>
      <c r="W22" s="118">
        <v>2034</v>
      </c>
      <c r="X22" s="140">
        <v>362</v>
      </c>
    </row>
    <row r="23" spans="2:24" s="128" customFormat="1" ht="40.15" customHeight="1" x14ac:dyDescent="0.2">
      <c r="B23" s="387" t="str">
        <f>'TM5_parques de estacionamento'!C32</f>
        <v>Fator de emissão de GEE - produção do "outro tipo de veículo" (ProdT)</v>
      </c>
      <c r="C23" s="383">
        <f>'TM5_parques de estacionamento'!F32</f>
        <v>0</v>
      </c>
      <c r="D23" s="739"/>
      <c r="E23" s="101"/>
      <c r="F23" s="160"/>
      <c r="G23" s="102"/>
      <c r="H23" s="102"/>
      <c r="I23" s="162"/>
      <c r="J23" s="162"/>
      <c r="K23" s="162"/>
      <c r="L23" s="162"/>
      <c r="M23" s="163"/>
      <c r="N23" s="347"/>
      <c r="O23" s="347"/>
      <c r="P23" s="129"/>
      <c r="Q23" s="129"/>
      <c r="R23" s="129"/>
      <c r="S23" s="129"/>
      <c r="T23" s="129"/>
      <c r="U23" s="129"/>
      <c r="V23" s="129"/>
      <c r="W23" s="118">
        <v>2035</v>
      </c>
      <c r="X23" s="140">
        <v>390</v>
      </c>
    </row>
    <row r="24" spans="2:24" s="128" customFormat="1" ht="40.15" customHeight="1" x14ac:dyDescent="0.2">
      <c r="B24" s="387"/>
      <c r="C24" s="102"/>
      <c r="D24" s="102"/>
      <c r="E24" s="101"/>
      <c r="F24" s="160"/>
      <c r="G24" s="102"/>
      <c r="H24" s="102"/>
      <c r="I24" s="162"/>
      <c r="J24" s="162"/>
      <c r="K24" s="162"/>
      <c r="L24" s="162"/>
      <c r="M24" s="163"/>
      <c r="N24" s="347"/>
      <c r="O24" s="347"/>
      <c r="P24" s="129"/>
      <c r="Q24" s="129"/>
      <c r="R24" s="129"/>
      <c r="S24" s="129"/>
      <c r="T24" s="129"/>
      <c r="U24" s="129"/>
      <c r="V24" s="129"/>
      <c r="W24" s="118">
        <v>2036</v>
      </c>
      <c r="X24" s="140">
        <v>417</v>
      </c>
    </row>
    <row r="25" spans="2:24" s="128" customFormat="1" ht="40.15" customHeight="1" x14ac:dyDescent="0.2">
      <c r="B25" s="387"/>
      <c r="C25" s="102"/>
      <c r="D25" s="102"/>
      <c r="E25" s="101"/>
      <c r="F25" s="160"/>
      <c r="G25" s="102"/>
      <c r="H25" s="102"/>
      <c r="I25" s="162"/>
      <c r="J25" s="162"/>
      <c r="K25" s="162"/>
      <c r="L25" s="162"/>
      <c r="M25" s="163"/>
      <c r="N25" s="347"/>
      <c r="O25" s="347"/>
      <c r="P25" s="129"/>
      <c r="Q25" s="129"/>
      <c r="R25" s="129"/>
      <c r="S25" s="129"/>
      <c r="T25" s="129"/>
      <c r="U25" s="129"/>
      <c r="V25" s="129"/>
      <c r="W25" s="118">
        <v>2037</v>
      </c>
      <c r="X25" s="140">
        <v>444</v>
      </c>
    </row>
    <row r="26" spans="2:24" s="128" customFormat="1" ht="40.15" customHeight="1" x14ac:dyDescent="0.2">
      <c r="B26" s="384" t="s">
        <v>114</v>
      </c>
      <c r="C26" s="385" t="s">
        <v>873</v>
      </c>
      <c r="D26" s="386"/>
      <c r="E26" s="101"/>
      <c r="F26" s="160"/>
      <c r="G26" s="102"/>
      <c r="H26" s="102"/>
      <c r="I26" s="161"/>
      <c r="J26" s="168" t="s">
        <v>246</v>
      </c>
      <c r="K26" s="261">
        <f>SUM(K13:K18)</f>
        <v>0</v>
      </c>
      <c r="L26" s="261"/>
      <c r="M26" s="262"/>
      <c r="N26" s="261">
        <f>SUM(N13:N18)</f>
        <v>0</v>
      </c>
      <c r="O26" s="261"/>
      <c r="P26" s="166" t="s">
        <v>249</v>
      </c>
      <c r="Q26" s="129"/>
      <c r="R26" s="129"/>
      <c r="S26" s="129"/>
      <c r="T26" s="129"/>
      <c r="U26" s="129"/>
      <c r="V26" s="129"/>
      <c r="W26" s="118">
        <v>2038</v>
      </c>
      <c r="X26" s="140">
        <v>471</v>
      </c>
    </row>
    <row r="27" spans="2:24" s="128" customFormat="1" ht="40.15" customHeight="1" x14ac:dyDescent="0.2">
      <c r="B27" s="169" t="s">
        <v>1035</v>
      </c>
      <c r="C27" s="109">
        <f>IFERROR('TM5_parques de estacionamento'!E48,"")</f>
        <v>0</v>
      </c>
      <c r="D27" s="110"/>
      <c r="E27" s="101"/>
      <c r="F27" s="160"/>
      <c r="G27" s="102"/>
      <c r="H27" s="102"/>
      <c r="I27" s="161"/>
      <c r="J27" s="162"/>
      <c r="K27" s="162"/>
      <c r="L27" s="162"/>
      <c r="M27" s="163"/>
      <c r="N27" s="162"/>
      <c r="O27" s="106"/>
      <c r="P27" s="129"/>
      <c r="Q27" s="129"/>
      <c r="R27" s="129"/>
      <c r="S27" s="129"/>
      <c r="T27" s="129"/>
      <c r="U27" s="129"/>
      <c r="V27" s="129"/>
      <c r="W27" s="118">
        <v>2039</v>
      </c>
      <c r="X27" s="140">
        <v>498</v>
      </c>
    </row>
    <row r="28" spans="2:24" s="128" customFormat="1" ht="40.15" customHeight="1" x14ac:dyDescent="0.2">
      <c r="B28" s="107" t="str">
        <f>'TM5_parques de estacionamento'!C50</f>
        <v>Nº total de utilizadores do estacionamento com potencial de transferência modal, num ano típico de funcionamento</v>
      </c>
      <c r="C28" s="631">
        <f>'TM5_parques de estacionamento'!E50</f>
        <v>0</v>
      </c>
      <c r="D28" s="109"/>
      <c r="E28" s="101"/>
      <c r="F28" s="160"/>
      <c r="G28" s="102"/>
      <c r="H28" s="102"/>
      <c r="I28" s="161"/>
      <c r="J28" s="162"/>
      <c r="K28" s="162"/>
      <c r="L28" s="162"/>
      <c r="M28" s="163"/>
      <c r="N28" s="162"/>
      <c r="O28" s="106"/>
      <c r="P28" s="129"/>
      <c r="Q28" s="129"/>
      <c r="R28" s="129"/>
      <c r="S28" s="129"/>
      <c r="T28" s="129"/>
      <c r="U28" s="129"/>
      <c r="V28" s="129"/>
      <c r="W28" s="118">
        <v>2040</v>
      </c>
      <c r="X28" s="140">
        <v>325</v>
      </c>
    </row>
    <row r="29" spans="2:24" s="128" customFormat="1" ht="40.15" customHeight="1" x14ac:dyDescent="0.2">
      <c r="B29" s="107" t="str">
        <f>'TM5_parques de estacionamento'!C52</f>
        <v>Nº total de km evitados, por transferência modal, num ano típico de funcionamento</v>
      </c>
      <c r="C29" s="631">
        <f>'TM5_parques de estacionamento'!E52</f>
        <v>0</v>
      </c>
      <c r="D29" s="109"/>
      <c r="E29" s="101"/>
      <c r="F29" s="160"/>
      <c r="G29" s="102"/>
      <c r="H29" s="102"/>
      <c r="I29" s="161"/>
      <c r="J29" s="102"/>
      <c r="K29" s="102"/>
      <c r="L29" s="102"/>
      <c r="M29" s="102"/>
      <c r="N29" s="102"/>
      <c r="O29" s="106"/>
      <c r="P29" s="129"/>
      <c r="Q29" s="129"/>
      <c r="R29" s="129"/>
      <c r="S29" s="129"/>
      <c r="T29" s="129"/>
      <c r="U29" s="129"/>
      <c r="V29" s="129"/>
      <c r="W29" s="118">
        <v>2034</v>
      </c>
      <c r="X29" s="140">
        <v>362</v>
      </c>
    </row>
    <row r="30" spans="2:24" s="128" customFormat="1" ht="40.15" customHeight="1" x14ac:dyDescent="0.2">
      <c r="B30" s="107" t="str">
        <f>'TM5_parques de estacionamento'!C54</f>
        <v>Qual a % tipologia automóvel a utilizar para os cálculos das emissões GEE?</v>
      </c>
      <c r="C30" s="631"/>
      <c r="D30" s="631" t="str">
        <f>'TM5_parques de estacionamento'!E54</f>
        <v>Selecionar uma opção</v>
      </c>
      <c r="E30" s="101"/>
      <c r="F30" s="101"/>
      <c r="G30" s="130"/>
      <c r="H30" s="130"/>
      <c r="I30" s="101"/>
      <c r="J30" s="106"/>
      <c r="K30" s="106"/>
      <c r="L30" s="106"/>
      <c r="M30" s="106"/>
      <c r="N30" s="106"/>
      <c r="O30" s="106"/>
      <c r="P30" s="129"/>
      <c r="Q30" s="129"/>
      <c r="R30" s="129"/>
      <c r="S30" s="129"/>
      <c r="T30" s="129"/>
      <c r="U30" s="129"/>
      <c r="V30" s="129"/>
      <c r="W30" s="118">
        <v>2035</v>
      </c>
      <c r="X30" s="140">
        <v>390</v>
      </c>
    </row>
    <row r="31" spans="2:24" s="128" customFormat="1" ht="40.15" customHeight="1" x14ac:dyDescent="0.2">
      <c r="B31" s="107" t="str">
        <f>'TM5_parques de estacionamento'!C56</f>
        <v>Automóvel a combustão- gasóleo</v>
      </c>
      <c r="C31" s="631">
        <f>'TM5_parques de estacionamento'!E56/100</f>
        <v>0</v>
      </c>
      <c r="D31" s="109"/>
      <c r="E31" s="101"/>
      <c r="F31" s="101"/>
      <c r="G31" s="130"/>
      <c r="H31" s="130"/>
      <c r="I31" s="101"/>
      <c r="J31" s="106"/>
      <c r="K31" s="106"/>
      <c r="L31" s="106"/>
      <c r="M31" s="106"/>
      <c r="N31" s="106"/>
      <c r="O31" s="106"/>
      <c r="P31" s="129"/>
      <c r="Q31" s="129"/>
      <c r="R31" s="129"/>
      <c r="S31" s="129"/>
      <c r="T31" s="129"/>
      <c r="U31" s="129"/>
      <c r="V31" s="129"/>
      <c r="W31" s="118">
        <v>2036</v>
      </c>
      <c r="X31" s="140">
        <v>417</v>
      </c>
    </row>
    <row r="32" spans="2:24" s="128" customFormat="1" ht="40.15" customHeight="1" x14ac:dyDescent="0.2">
      <c r="B32" s="107" t="str">
        <f>'TM5_parques de estacionamento'!C57</f>
        <v>Automóvel a combustão- gasolina</v>
      </c>
      <c r="C32" s="631">
        <f>'TM5_parques de estacionamento'!E57/100</f>
        <v>0</v>
      </c>
      <c r="D32" s="109"/>
      <c r="E32" s="101"/>
      <c r="F32" s="101"/>
      <c r="G32" s="130"/>
      <c r="H32" s="130"/>
      <c r="I32" s="101"/>
      <c r="J32" s="106"/>
      <c r="K32" s="106"/>
      <c r="L32" s="106"/>
      <c r="M32" s="106"/>
      <c r="N32" s="106"/>
      <c r="O32" s="106"/>
      <c r="P32" s="129"/>
      <c r="Q32" s="129"/>
      <c r="R32" s="129"/>
      <c r="S32" s="129"/>
      <c r="T32" s="129"/>
      <c r="U32" s="129"/>
      <c r="V32" s="129"/>
      <c r="W32" s="118"/>
      <c r="X32" s="140"/>
    </row>
    <row r="33" spans="1:24" s="128" customFormat="1" ht="40.15" customHeight="1" x14ac:dyDescent="0.2">
      <c r="B33" s="107" t="str">
        <f>'TM5_parques de estacionamento'!C58</f>
        <v>Automóvel a combustão- GPL</v>
      </c>
      <c r="C33" s="631">
        <f>'TM5_parques de estacionamento'!E58/100</f>
        <v>0</v>
      </c>
      <c r="D33" s="109"/>
      <c r="E33" s="106"/>
      <c r="F33" s="106"/>
      <c r="G33" s="106"/>
      <c r="H33" s="106"/>
      <c r="I33" s="106"/>
      <c r="J33" s="106"/>
      <c r="K33" s="106"/>
      <c r="L33" s="106"/>
      <c r="M33" s="106"/>
      <c r="N33" s="106"/>
      <c r="O33" s="106"/>
      <c r="P33" s="129"/>
      <c r="Q33" s="129"/>
      <c r="R33" s="129"/>
      <c r="S33" s="129"/>
      <c r="T33" s="129"/>
      <c r="U33" s="129"/>
      <c r="V33" s="129"/>
      <c r="W33" s="118">
        <v>2037</v>
      </c>
      <c r="X33" s="140">
        <v>444</v>
      </c>
    </row>
    <row r="34" spans="1:24" s="128" customFormat="1" ht="40.15" customHeight="1" x14ac:dyDescent="0.2">
      <c r="A34" s="131"/>
      <c r="B34" s="107" t="str">
        <f>'TM5_parques de estacionamento'!C59</f>
        <v>Automóvel elétrico-bateria (iões de lítio)</v>
      </c>
      <c r="C34" s="631">
        <f>'TM5_parques de estacionamento'!E59/100</f>
        <v>0</v>
      </c>
      <c r="D34" s="109"/>
      <c r="E34" s="106"/>
      <c r="F34" s="106"/>
      <c r="G34" s="106"/>
      <c r="H34" s="106"/>
      <c r="I34" s="106"/>
      <c r="J34" s="106"/>
      <c r="K34" s="106"/>
      <c r="L34" s="106"/>
      <c r="M34" s="106"/>
      <c r="N34" s="106"/>
      <c r="O34" s="106"/>
      <c r="W34" s="118">
        <v>2038</v>
      </c>
      <c r="X34" s="140">
        <v>471</v>
      </c>
    </row>
    <row r="35" spans="1:24" s="128" customFormat="1" ht="40.15" customHeight="1" x14ac:dyDescent="0.2">
      <c r="B35" s="260" t="str">
        <f>'TM5_parques de estacionamento'!C60</f>
        <v>Automóvel hibrido (Plug In)</v>
      </c>
      <c r="C35" s="631">
        <f>'TM5_parques de estacionamento'!E60/100</f>
        <v>0</v>
      </c>
      <c r="D35" s="109"/>
      <c r="E35" s="106"/>
      <c r="F35" s="106"/>
      <c r="G35" s="106"/>
      <c r="H35" s="106"/>
      <c r="I35" s="106"/>
      <c r="J35" s="106"/>
      <c r="K35" s="106"/>
      <c r="L35" s="106"/>
      <c r="M35" s="106"/>
      <c r="N35" s="106"/>
      <c r="O35" s="106"/>
      <c r="W35" s="118">
        <v>2039</v>
      </c>
      <c r="X35" s="140">
        <v>498</v>
      </c>
    </row>
    <row r="36" spans="1:24" s="128" customFormat="1" ht="40.15" customHeight="1" x14ac:dyDescent="0.2">
      <c r="B36" s="260" t="str">
        <f>'TM5_parques de estacionamento'!C61</f>
        <v>Automóvel hibrido (motor desconhecido)</v>
      </c>
      <c r="C36" s="631">
        <f>'TM5_parques de estacionamento'!E61/100</f>
        <v>0</v>
      </c>
      <c r="D36" s="109"/>
      <c r="E36" s="106"/>
      <c r="F36" s="106"/>
      <c r="G36" s="106"/>
      <c r="H36" s="106"/>
      <c r="I36" s="106"/>
      <c r="J36" s="106"/>
      <c r="K36" s="106"/>
      <c r="L36" s="106"/>
      <c r="M36" s="106"/>
      <c r="N36" s="106"/>
      <c r="O36" s="106"/>
      <c r="W36" s="118">
        <v>2040</v>
      </c>
      <c r="X36" s="140">
        <v>325</v>
      </c>
    </row>
    <row r="37" spans="1:24" s="123" customFormat="1" ht="32.450000000000003" customHeight="1" x14ac:dyDescent="0.2">
      <c r="B37" s="260" t="str">
        <f>'TM5_parques de estacionamento'!C62</f>
        <v>Outro tipo de veículo</v>
      </c>
      <c r="C37" s="631">
        <f>'TM5_parques de estacionamento'!E62/100</f>
        <v>0</v>
      </c>
      <c r="D37" s="109"/>
      <c r="E37" s="124"/>
      <c r="F37" s="124"/>
      <c r="G37" s="124"/>
      <c r="H37" s="124"/>
      <c r="I37" s="124"/>
      <c r="J37" s="124"/>
      <c r="K37" s="124"/>
      <c r="L37" s="124"/>
      <c r="M37" s="124"/>
      <c r="N37" s="124"/>
      <c r="O37" s="124"/>
    </row>
    <row r="38" spans="1:24" s="123" customFormat="1" ht="35.450000000000003" customHeight="1" x14ac:dyDescent="0.2">
      <c r="B38" s="260"/>
      <c r="C38" s="631"/>
      <c r="D38" s="109"/>
      <c r="E38" s="124"/>
      <c r="F38" s="124"/>
      <c r="G38" s="124"/>
      <c r="H38" s="124"/>
      <c r="I38" s="124"/>
      <c r="J38" s="124"/>
      <c r="K38" s="124"/>
      <c r="L38" s="124"/>
      <c r="M38" s="124"/>
      <c r="N38" s="124"/>
      <c r="O38" s="124"/>
    </row>
    <row r="39" spans="1:24" s="123" customFormat="1" ht="12.75" x14ac:dyDescent="0.2">
      <c r="D39" s="124"/>
      <c r="E39" s="124"/>
      <c r="F39" s="124"/>
      <c r="G39" s="124"/>
      <c r="H39" s="124"/>
      <c r="I39" s="124"/>
      <c r="J39" s="124"/>
      <c r="K39" s="124"/>
      <c r="L39" s="124"/>
      <c r="M39" s="124"/>
      <c r="N39" s="124"/>
      <c r="O39" s="124"/>
    </row>
    <row r="40" spans="1:24" s="121" customFormat="1" ht="12.75" x14ac:dyDescent="0.2">
      <c r="B40" s="120" t="s">
        <v>1039</v>
      </c>
      <c r="D40" s="122"/>
      <c r="E40" s="122"/>
      <c r="F40" s="122"/>
      <c r="G40" s="122"/>
      <c r="H40" s="122"/>
      <c r="I40" s="122"/>
      <c r="J40" s="122"/>
      <c r="K40" s="122"/>
      <c r="L40" s="122"/>
      <c r="M40" s="122"/>
      <c r="N40" s="122"/>
      <c r="O40" s="122"/>
    </row>
    <row r="41" spans="1:24" s="175" customFormat="1" ht="12.75" x14ac:dyDescent="0.2">
      <c r="B41" s="176"/>
      <c r="D41" s="177"/>
      <c r="E41" s="177"/>
      <c r="F41" s="177"/>
      <c r="G41" s="177"/>
      <c r="H41" s="177"/>
      <c r="I41" s="177"/>
      <c r="J41" s="177"/>
      <c r="K41" s="177"/>
      <c r="L41" s="177"/>
      <c r="M41" s="177"/>
      <c r="N41" s="177"/>
      <c r="O41" s="177"/>
    </row>
    <row r="42" spans="1:24" s="175" customFormat="1" ht="12.75" x14ac:dyDescent="0.2">
      <c r="B42" s="176" t="s">
        <v>252</v>
      </c>
      <c r="D42" s="177"/>
      <c r="E42" s="177"/>
      <c r="F42" s="177"/>
      <c r="G42" s="177"/>
      <c r="H42" s="177"/>
      <c r="I42" s="177"/>
      <c r="J42" s="177"/>
      <c r="K42" s="177"/>
      <c r="L42" s="177"/>
      <c r="M42" s="177"/>
      <c r="N42" s="177"/>
      <c r="O42" s="177"/>
    </row>
    <row r="43" spans="1:24" s="175" customFormat="1" ht="12.75" x14ac:dyDescent="0.2">
      <c r="B43" s="176"/>
      <c r="D43" s="177"/>
      <c r="E43" s="177"/>
      <c r="F43" s="177"/>
      <c r="G43" s="177"/>
      <c r="H43" s="177"/>
      <c r="I43" s="177"/>
      <c r="J43" s="177"/>
      <c r="K43" s="177"/>
      <c r="L43" s="177"/>
      <c r="M43" s="177"/>
      <c r="N43" s="177"/>
      <c r="O43" s="177"/>
    </row>
    <row r="44" spans="1:24" s="175" customFormat="1" ht="12.75" x14ac:dyDescent="0.2">
      <c r="B44" s="120" t="s">
        <v>1046</v>
      </c>
      <c r="C44" s="179" t="s">
        <v>77</v>
      </c>
      <c r="D44" s="122" t="s">
        <v>909</v>
      </c>
      <c r="E44" s="122" t="s">
        <v>256</v>
      </c>
      <c r="F44" s="177"/>
      <c r="G44" s="120" t="s">
        <v>286</v>
      </c>
      <c r="H44" s="179" t="s">
        <v>77</v>
      </c>
      <c r="I44" s="122" t="s">
        <v>909</v>
      </c>
      <c r="J44" s="122" t="s">
        <v>256</v>
      </c>
      <c r="K44" s="177"/>
      <c r="L44" s="177"/>
      <c r="M44" s="177"/>
      <c r="N44" s="177"/>
      <c r="O44" s="177"/>
    </row>
    <row r="45" spans="1:24" s="175" customFormat="1" ht="12.75" x14ac:dyDescent="0.2">
      <c r="B45" s="176" t="s">
        <v>125</v>
      </c>
      <c r="C45" s="178">
        <v>0.55000000000000004</v>
      </c>
      <c r="D45" s="180">
        <f>'Fatores de Emissão'!$E$99</f>
        <v>0.12029271250000002</v>
      </c>
      <c r="E45" s="181">
        <f t="shared" ref="E45:E50" si="3">C45*D45</f>
        <v>6.6160991875000019E-2</v>
      </c>
      <c r="F45" s="177"/>
      <c r="G45" s="176" t="s">
        <v>125</v>
      </c>
      <c r="H45" s="178">
        <v>0.84</v>
      </c>
      <c r="I45" s="177">
        <f>'Fatores de Emissão'!$E$63</f>
        <v>8.29704311418685E-2</v>
      </c>
      <c r="J45" s="181">
        <f>H45*I45</f>
        <v>6.9695162159169544E-2</v>
      </c>
      <c r="K45" s="177"/>
      <c r="L45" s="177"/>
      <c r="M45" s="177"/>
      <c r="N45" s="177"/>
      <c r="O45" s="177"/>
    </row>
    <row r="46" spans="1:24" s="175" customFormat="1" ht="12.75" x14ac:dyDescent="0.2">
      <c r="B46" s="176" t="s">
        <v>227</v>
      </c>
      <c r="C46" s="178">
        <v>0.38</v>
      </c>
      <c r="D46" s="180">
        <f>'Fatores de Emissão'!$E$93</f>
        <v>0.12633856874999999</v>
      </c>
      <c r="E46" s="181">
        <f t="shared" si="3"/>
        <v>4.8008656125E-2</v>
      </c>
      <c r="F46" s="177"/>
      <c r="G46" s="176" t="s">
        <v>89</v>
      </c>
      <c r="H46" s="178">
        <v>0.16</v>
      </c>
      <c r="I46" s="177">
        <f>'Fatores de Emissão'!$E$68</f>
        <v>9.3486387543252586E-2</v>
      </c>
      <c r="J46" s="181">
        <f>H46*I46</f>
        <v>1.4957822006920415E-2</v>
      </c>
      <c r="K46" s="177"/>
      <c r="L46" s="177"/>
      <c r="M46" s="177"/>
      <c r="N46" s="177"/>
      <c r="O46" s="177"/>
    </row>
    <row r="47" spans="1:24" s="175" customFormat="1" ht="12.75" x14ac:dyDescent="0.2">
      <c r="B47" s="176" t="s">
        <v>230</v>
      </c>
      <c r="C47" s="178">
        <v>0.01</v>
      </c>
      <c r="D47" s="180">
        <f>'Fatores de Emissão'!E102</f>
        <v>0.119959</v>
      </c>
      <c r="E47" s="181">
        <f t="shared" si="3"/>
        <v>1.1995899999999999E-3</v>
      </c>
      <c r="F47" s="177"/>
      <c r="G47" s="182" t="s">
        <v>246</v>
      </c>
      <c r="H47" s="183"/>
      <c r="I47" s="184"/>
      <c r="J47" s="185">
        <f>SUM(J41:J46)</f>
        <v>8.4652984166089962E-2</v>
      </c>
      <c r="K47" s="177"/>
      <c r="L47" s="177"/>
      <c r="M47" s="177"/>
      <c r="N47" s="177"/>
      <c r="O47" s="177"/>
    </row>
    <row r="48" spans="1:24" s="175" customFormat="1" ht="12.75" x14ac:dyDescent="0.2">
      <c r="B48" s="176" t="s">
        <v>255</v>
      </c>
      <c r="C48" s="178">
        <v>0.02</v>
      </c>
      <c r="D48" s="180">
        <f>'Fatores de Emissão'!$E$9</f>
        <v>1.3839724576271188E-2</v>
      </c>
      <c r="E48" s="181">
        <f t="shared" si="3"/>
        <v>2.7679449152542379E-4</v>
      </c>
      <c r="F48" s="177"/>
      <c r="G48" s="177"/>
      <c r="H48" s="177"/>
      <c r="I48" s="177"/>
      <c r="J48" s="177"/>
      <c r="K48" s="177"/>
      <c r="L48" s="177"/>
      <c r="M48" s="177"/>
      <c r="N48" s="177"/>
      <c r="O48" s="177"/>
    </row>
    <row r="49" spans="2:15" s="175" customFormat="1" ht="12.75" x14ac:dyDescent="0.2">
      <c r="B49" s="176" t="s">
        <v>254</v>
      </c>
      <c r="C49" s="178">
        <v>0.02</v>
      </c>
      <c r="D49" s="180">
        <f>'Fatores de Emissão'!$E$96</f>
        <v>8.0156249999999998E-2</v>
      </c>
      <c r="E49" s="181">
        <f t="shared" si="3"/>
        <v>1.6031249999999999E-3</v>
      </c>
      <c r="F49" s="177"/>
      <c r="G49" s="177"/>
      <c r="H49" s="177"/>
      <c r="I49" s="177"/>
      <c r="J49" s="177"/>
      <c r="K49" s="177"/>
      <c r="L49" s="177"/>
      <c r="M49" s="177"/>
      <c r="N49" s="177"/>
      <c r="O49" s="177"/>
    </row>
    <row r="50" spans="2:15" s="175" customFormat="1" ht="12.75" x14ac:dyDescent="0.2">
      <c r="B50" s="176" t="s">
        <v>260</v>
      </c>
      <c r="C50" s="178">
        <v>0.02</v>
      </c>
      <c r="D50" s="180">
        <f>'Fatores de Emissão'!$E$10</f>
        <v>4.4243290960451981E-3</v>
      </c>
      <c r="E50" s="181">
        <f t="shared" si="3"/>
        <v>8.8486581920903967E-5</v>
      </c>
      <c r="F50" s="177"/>
      <c r="G50" s="188" t="s">
        <v>263</v>
      </c>
      <c r="H50" s="186" t="s">
        <v>9</v>
      </c>
      <c r="I50" s="177"/>
      <c r="J50" s="177"/>
      <c r="K50" s="177"/>
      <c r="L50" s="177"/>
      <c r="M50" s="177"/>
      <c r="N50" s="177"/>
      <c r="O50" s="177"/>
    </row>
    <row r="51" spans="2:15" s="175" customFormat="1" ht="12.75" x14ac:dyDescent="0.2">
      <c r="B51" s="182" t="s">
        <v>246</v>
      </c>
      <c r="C51" s="183"/>
      <c r="D51" s="184"/>
      <c r="E51" s="185">
        <f>SUM(E45:E50)</f>
        <v>0.11733764407344634</v>
      </c>
      <c r="F51" s="177"/>
      <c r="G51" s="187" t="s">
        <v>205</v>
      </c>
      <c r="H51" s="177" t="e">
        <f>VLOOKUP($C$13,FAListas!$C$20:$D$28,2,FALSE)</f>
        <v>#N/A</v>
      </c>
      <c r="I51" s="177"/>
      <c r="J51" s="177"/>
      <c r="K51" s="177"/>
      <c r="L51" s="177"/>
      <c r="M51" s="177"/>
      <c r="N51" s="177"/>
      <c r="O51" s="177"/>
    </row>
    <row r="52" spans="2:15" s="175" customFormat="1" ht="12.75" x14ac:dyDescent="0.2">
      <c r="D52" s="177"/>
      <c r="E52" s="177"/>
      <c r="F52" s="177"/>
      <c r="G52" s="187" t="s">
        <v>1057</v>
      </c>
      <c r="H52" s="177">
        <f>'Fatores de Emissão'!E60</f>
        <v>1.8710000000000001E-2</v>
      </c>
      <c r="I52" s="177"/>
      <c r="J52" s="177"/>
      <c r="K52" s="177"/>
      <c r="L52" s="177"/>
      <c r="M52" s="177"/>
      <c r="N52" s="177"/>
      <c r="O52" s="177"/>
    </row>
    <row r="53" spans="2:15" s="175" customFormat="1" ht="12.75" x14ac:dyDescent="0.2">
      <c r="D53" s="177"/>
      <c r="E53" s="177"/>
      <c r="F53" s="177"/>
      <c r="G53" s="187" t="s">
        <v>154</v>
      </c>
      <c r="H53" s="177">
        <f>'Fatores de Emissão'!$E$47</f>
        <v>8.9999999999999993E-3</v>
      </c>
      <c r="I53" s="177"/>
      <c r="J53" s="177"/>
      <c r="K53" s="177"/>
      <c r="L53" s="177"/>
      <c r="M53" s="177"/>
      <c r="N53" s="177"/>
      <c r="O53" s="177"/>
    </row>
    <row r="54" spans="2:15" s="175" customFormat="1" ht="12.75" x14ac:dyDescent="0.2">
      <c r="B54" s="120" t="s">
        <v>285</v>
      </c>
      <c r="C54" s="179" t="s">
        <v>77</v>
      </c>
      <c r="D54" s="122" t="s">
        <v>909</v>
      </c>
      <c r="E54" s="122" t="s">
        <v>256</v>
      </c>
      <c r="F54" s="177"/>
      <c r="G54" s="187" t="s">
        <v>110</v>
      </c>
      <c r="H54" s="177">
        <v>0</v>
      </c>
      <c r="I54" s="177"/>
      <c r="J54" s="177"/>
      <c r="K54" s="177"/>
      <c r="L54" s="177"/>
      <c r="M54" s="177"/>
      <c r="N54" s="177"/>
      <c r="O54" s="177"/>
    </row>
    <row r="55" spans="2:15" s="175" customFormat="1" ht="12.75" x14ac:dyDescent="0.2">
      <c r="B55" s="176" t="s">
        <v>125</v>
      </c>
      <c r="C55" s="837">
        <f>C31</f>
        <v>0</v>
      </c>
      <c r="D55" s="180">
        <f>C19</f>
        <v>0</v>
      </c>
      <c r="E55" s="181">
        <f t="shared" ref="E55:E60" si="4">C55*D55</f>
        <v>0</v>
      </c>
      <c r="F55" s="177"/>
      <c r="G55" s="187" t="s">
        <v>266</v>
      </c>
      <c r="H55" s="177">
        <v>0</v>
      </c>
      <c r="I55" s="177"/>
      <c r="J55" s="177"/>
      <c r="K55" s="177"/>
      <c r="L55" s="177"/>
      <c r="M55" s="177"/>
      <c r="N55" s="177"/>
      <c r="O55" s="177"/>
    </row>
    <row r="56" spans="2:15" s="175" customFormat="1" ht="12.75" x14ac:dyDescent="0.2">
      <c r="B56" s="176" t="s">
        <v>227</v>
      </c>
      <c r="C56" s="837">
        <f>C32</f>
        <v>0</v>
      </c>
      <c r="D56" s="180">
        <f>C20</f>
        <v>0</v>
      </c>
      <c r="E56" s="181">
        <f t="shared" si="4"/>
        <v>0</v>
      </c>
      <c r="F56" s="177"/>
      <c r="G56" s="187" t="s">
        <v>109</v>
      </c>
      <c r="H56" s="177">
        <f>'Fatores de Emissão'!$E$14</f>
        <v>5.6709999999999998E-3</v>
      </c>
      <c r="I56" s="177"/>
      <c r="J56" s="177"/>
      <c r="K56" s="177"/>
      <c r="L56" s="177"/>
      <c r="M56" s="177"/>
      <c r="N56" s="177"/>
      <c r="O56" s="177"/>
    </row>
    <row r="57" spans="2:15" s="175" customFormat="1" ht="12.75" x14ac:dyDescent="0.2">
      <c r="B57" s="176" t="s">
        <v>230</v>
      </c>
      <c r="C57" s="837">
        <f>C33</f>
        <v>0</v>
      </c>
      <c r="D57" s="180">
        <f>C21</f>
        <v>0</v>
      </c>
      <c r="E57" s="181">
        <f t="shared" si="4"/>
        <v>0</v>
      </c>
      <c r="F57" s="177"/>
      <c r="G57" s="187" t="s">
        <v>267</v>
      </c>
      <c r="H57" s="177">
        <f>'Fatores de Emissão'!E13</f>
        <v>4.3977E-3</v>
      </c>
      <c r="I57" s="177"/>
      <c r="J57" s="177"/>
      <c r="K57" s="177"/>
      <c r="L57" s="177"/>
      <c r="M57" s="177"/>
      <c r="N57" s="177"/>
      <c r="O57" s="177"/>
    </row>
    <row r="58" spans="2:15" s="175" customFormat="1" ht="12.75" x14ac:dyDescent="0.2">
      <c r="B58" s="176" t="s">
        <v>255</v>
      </c>
      <c r="C58" s="837">
        <f>C34</f>
        <v>0</v>
      </c>
      <c r="D58" s="180">
        <f>C16</f>
        <v>0</v>
      </c>
      <c r="E58" s="181">
        <f t="shared" si="4"/>
        <v>0</v>
      </c>
      <c r="F58" s="177"/>
      <c r="G58" s="187" t="s">
        <v>268</v>
      </c>
      <c r="H58" s="177">
        <f>'Fatores de Emissão'!E11</f>
        <v>3.10086E-3</v>
      </c>
      <c r="I58" s="177"/>
      <c r="J58" s="177"/>
      <c r="K58" s="177"/>
      <c r="L58" s="177"/>
      <c r="M58" s="177"/>
      <c r="N58" s="177"/>
      <c r="O58" s="177"/>
    </row>
    <row r="59" spans="2:15" s="175" customFormat="1" ht="12.75" x14ac:dyDescent="0.2">
      <c r="B59" s="176" t="s">
        <v>254</v>
      </c>
      <c r="C59" s="837">
        <f>C36</f>
        <v>0</v>
      </c>
      <c r="D59" s="180">
        <f>C18</f>
        <v>0</v>
      </c>
      <c r="E59" s="181">
        <f t="shared" si="4"/>
        <v>0</v>
      </c>
      <c r="F59" s="177"/>
      <c r="G59" s="187"/>
      <c r="H59" s="177"/>
      <c r="I59" s="177"/>
      <c r="J59" s="177"/>
      <c r="K59" s="177"/>
      <c r="L59" s="177"/>
      <c r="M59" s="177"/>
      <c r="N59" s="177"/>
      <c r="O59" s="177"/>
    </row>
    <row r="60" spans="2:15" s="175" customFormat="1" ht="12.75" x14ac:dyDescent="0.2">
      <c r="B60" s="176" t="s">
        <v>260</v>
      </c>
      <c r="C60" s="837">
        <f>C35</f>
        <v>0</v>
      </c>
      <c r="D60" s="180">
        <f>C17</f>
        <v>0</v>
      </c>
      <c r="E60" s="181">
        <f t="shared" si="4"/>
        <v>0</v>
      </c>
      <c r="F60" s="177"/>
      <c r="G60" s="187"/>
      <c r="H60" s="177"/>
      <c r="I60" s="177"/>
      <c r="J60" s="177"/>
      <c r="K60" s="177"/>
      <c r="L60" s="177"/>
      <c r="M60" s="177"/>
      <c r="N60" s="177"/>
      <c r="O60" s="177"/>
    </row>
    <row r="61" spans="2:15" s="175" customFormat="1" ht="12.75" x14ac:dyDescent="0.2">
      <c r="B61" s="182" t="s">
        <v>246</v>
      </c>
      <c r="C61" s="183"/>
      <c r="D61" s="184"/>
      <c r="E61" s="185">
        <f>SUM(E55:E60)</f>
        <v>0</v>
      </c>
      <c r="F61" s="177"/>
      <c r="G61" s="187"/>
      <c r="H61" s="177"/>
      <c r="I61" s="177"/>
      <c r="J61" s="177"/>
      <c r="K61" s="177"/>
      <c r="L61" s="177"/>
      <c r="M61" s="177"/>
      <c r="N61" s="177"/>
      <c r="O61" s="177"/>
    </row>
    <row r="62" spans="2:15" s="175" customFormat="1" ht="12.75" x14ac:dyDescent="0.2">
      <c r="D62" s="177"/>
      <c r="E62" s="177"/>
      <c r="F62" s="177"/>
      <c r="G62" s="187"/>
      <c r="H62" s="177"/>
      <c r="I62" s="177"/>
      <c r="J62" s="177"/>
      <c r="K62" s="177"/>
      <c r="L62" s="177"/>
      <c r="M62" s="177"/>
      <c r="N62" s="177"/>
      <c r="O62" s="177"/>
    </row>
    <row r="63" spans="2:15" s="175" customFormat="1" ht="12.75" x14ac:dyDescent="0.2">
      <c r="D63" s="177"/>
      <c r="E63" s="177"/>
      <c r="F63" s="177"/>
      <c r="G63" s="187"/>
      <c r="H63" s="177"/>
      <c r="I63" s="177"/>
      <c r="J63" s="177"/>
      <c r="K63" s="177"/>
      <c r="L63" s="177"/>
      <c r="M63" s="177"/>
      <c r="N63" s="177"/>
      <c r="O63" s="177"/>
    </row>
    <row r="64" spans="2:15" s="175" customFormat="1" ht="12.75" x14ac:dyDescent="0.2">
      <c r="D64" s="177"/>
      <c r="E64" s="177"/>
      <c r="F64" s="177"/>
      <c r="G64" s="187"/>
      <c r="H64" s="177"/>
      <c r="I64" s="177"/>
      <c r="J64" s="177"/>
      <c r="K64" s="177"/>
      <c r="L64" s="177"/>
      <c r="M64" s="177"/>
      <c r="N64" s="177"/>
      <c r="O64" s="177"/>
    </row>
    <row r="65" spans="1:23" s="175" customFormat="1" ht="31.5" x14ac:dyDescent="0.5">
      <c r="B65" s="249"/>
      <c r="D65" s="249" t="s">
        <v>1045</v>
      </c>
      <c r="E65" s="177"/>
      <c r="F65" s="249"/>
      <c r="I65" s="249" t="s">
        <v>969</v>
      </c>
      <c r="J65" s="177"/>
      <c r="L65" s="177"/>
      <c r="M65" s="177"/>
      <c r="N65" s="177"/>
      <c r="O65" s="249"/>
      <c r="T65" s="249"/>
    </row>
    <row r="66" spans="1:23" s="123" customFormat="1" ht="12.75" x14ac:dyDescent="0.2">
      <c r="D66" s="209"/>
      <c r="E66" s="124"/>
      <c r="F66" s="124"/>
      <c r="G66" s="124"/>
      <c r="H66" s="124"/>
      <c r="I66" s="209"/>
      <c r="J66" s="124"/>
      <c r="K66" s="124"/>
      <c r="L66" s="124"/>
      <c r="M66" s="124"/>
      <c r="N66" s="124"/>
      <c r="O66" s="124"/>
    </row>
    <row r="67" spans="1:23" s="123" customFormat="1" ht="40.15" customHeight="1" x14ac:dyDescent="0.2">
      <c r="A67" s="101"/>
      <c r="B67" s="835" t="s">
        <v>264</v>
      </c>
      <c r="C67" s="151"/>
      <c r="D67" s="108" t="s">
        <v>172</v>
      </c>
      <c r="E67" s="108" t="s">
        <v>1044</v>
      </c>
      <c r="F67" s="608"/>
      <c r="G67" s="608"/>
      <c r="H67" s="608"/>
      <c r="I67" s="835" t="s">
        <v>172</v>
      </c>
      <c r="J67" s="108"/>
      <c r="K67" s="101"/>
      <c r="L67" s="101"/>
      <c r="M67" s="101"/>
      <c r="N67" s="101"/>
      <c r="O67" s="101"/>
      <c r="P67" s="101"/>
      <c r="Q67" s="101"/>
      <c r="R67" s="101"/>
      <c r="S67" s="101"/>
      <c r="T67" s="101"/>
      <c r="U67" s="101"/>
      <c r="V67" s="101"/>
      <c r="W67" s="101"/>
    </row>
    <row r="68" spans="1:23" s="123" customFormat="1" ht="40.15" customHeight="1" x14ac:dyDescent="0.2">
      <c r="A68" s="101"/>
      <c r="B68" s="840" t="s">
        <v>1049</v>
      </c>
      <c r="C68" s="839"/>
      <c r="D68" s="841" t="str">
        <f>IFERROR(IF($D$30=FAListas!$C$62,'TM5_parques de estacionamento'!$E$82/100,"0"),"")</f>
        <v>0</v>
      </c>
      <c r="E68" s="841" t="str">
        <f>IFERROR(IF($D$30=FAListas!$C$62,'TM5_parques de estacionamento'!E92/100,"0"),"")</f>
        <v>0</v>
      </c>
      <c r="F68" s="608"/>
      <c r="G68" s="608"/>
      <c r="H68" s="608"/>
      <c r="I68" s="841" t="str">
        <f>IFERROR(IF($D$30=FAListas!$C$63,'TM5_parques de estacionamento'!E82/100,""),"")</f>
        <v/>
      </c>
      <c r="J68" s="841"/>
      <c r="K68" s="101"/>
      <c r="L68" s="101"/>
      <c r="M68" s="101"/>
      <c r="N68" s="101"/>
      <c r="O68" s="101"/>
      <c r="P68" s="101"/>
      <c r="Q68" s="101"/>
      <c r="R68" s="101"/>
      <c r="S68" s="101"/>
      <c r="T68" s="101"/>
      <c r="U68" s="101"/>
      <c r="V68" s="101"/>
      <c r="W68" s="101"/>
    </row>
    <row r="69" spans="1:23" s="123" customFormat="1" ht="40.15" customHeight="1" x14ac:dyDescent="0.2">
      <c r="A69" s="101"/>
      <c r="B69" s="840" t="s">
        <v>1050</v>
      </c>
      <c r="C69" s="839"/>
      <c r="D69" s="841" t="str">
        <f>IFERROR(IF($D$30=FAListas!$C$62,'TM5_parques de estacionamento'!E83/100,"0"),"")</f>
        <v>0</v>
      </c>
      <c r="E69" s="841" t="str">
        <f>IFERROR(IF($D$30=FAListas!$C$62,'TM5_parques de estacionamento'!E93/100,"0"),"")</f>
        <v>0</v>
      </c>
      <c r="F69" s="608"/>
      <c r="G69" s="608"/>
      <c r="H69" s="608"/>
      <c r="I69" s="841" t="str">
        <f>IFERROR(IF($D$30=FAListas!$C$63,'TM5_parques de estacionamento'!E83/100,""),"")</f>
        <v/>
      </c>
      <c r="J69" s="841"/>
      <c r="K69" s="101"/>
      <c r="L69" s="101"/>
      <c r="M69" s="101"/>
      <c r="N69" s="101"/>
      <c r="O69" s="101"/>
      <c r="P69" s="101"/>
      <c r="Q69" s="101"/>
      <c r="R69" s="101"/>
      <c r="S69" s="101"/>
      <c r="T69" s="101"/>
      <c r="U69" s="101"/>
      <c r="V69" s="101"/>
      <c r="W69" s="101"/>
    </row>
    <row r="70" spans="1:23" s="123" customFormat="1" ht="40.15" customHeight="1" x14ac:dyDescent="0.2">
      <c r="A70" s="101"/>
      <c r="B70" s="840" t="s">
        <v>1051</v>
      </c>
      <c r="C70" s="839"/>
      <c r="D70" s="841" t="str">
        <f>IFERROR(IF($D$30=FAListas!$C$62,'TM5_parques de estacionamento'!E84/100,"0"),"")</f>
        <v>0</v>
      </c>
      <c r="E70" s="841" t="str">
        <f>IFERROR(IF($D$30=FAListas!$C$62,'TM5_parques de estacionamento'!E94/100,"0"),"")</f>
        <v>0</v>
      </c>
      <c r="F70" s="608"/>
      <c r="G70" s="608"/>
      <c r="H70" s="608"/>
      <c r="I70" s="841" t="str">
        <f>IFERROR(IF($D$30=FAListas!$C$63,'TM5_parques de estacionamento'!E84/100,""),"")</f>
        <v/>
      </c>
      <c r="J70" s="841"/>
      <c r="K70" s="101"/>
      <c r="L70" s="101"/>
      <c r="M70" s="101"/>
      <c r="N70" s="101"/>
      <c r="O70" s="101"/>
      <c r="P70" s="101"/>
      <c r="Q70" s="101"/>
      <c r="R70" s="101"/>
      <c r="S70" s="101"/>
      <c r="T70" s="101"/>
      <c r="U70" s="101"/>
      <c r="V70" s="101"/>
      <c r="W70" s="101"/>
    </row>
    <row r="71" spans="1:23" s="123" customFormat="1" ht="40.15" customHeight="1" x14ac:dyDescent="0.2">
      <c r="A71" s="349"/>
      <c r="B71" s="840" t="s">
        <v>261</v>
      </c>
      <c r="C71" s="153"/>
      <c r="D71" s="841" t="str">
        <f>IFERROR(IF($D$30=FAListas!$C$62,'TM5_parques de estacionamento'!E85/100,"0"),"")</f>
        <v>0</v>
      </c>
      <c r="E71" s="841" t="str">
        <f>IFERROR(IF($D$30=FAListas!$C$62,'TM5_parques de estacionamento'!E95/100,"0"),"")</f>
        <v>0</v>
      </c>
      <c r="F71" s="836"/>
      <c r="G71" s="836"/>
      <c r="H71" s="836"/>
      <c r="I71" s="841" t="str">
        <f>IFERROR(IF($D$30=FAListas!$C$63,'TM5_parques de estacionamento'!E85/100,""),"")</f>
        <v/>
      </c>
      <c r="J71" s="841"/>
      <c r="K71" s="349"/>
      <c r="L71" s="349"/>
      <c r="M71" s="349"/>
      <c r="N71" s="157"/>
      <c r="O71" s="157"/>
      <c r="P71" s="157"/>
      <c r="Q71" s="157"/>
      <c r="R71" s="157"/>
      <c r="S71" s="349"/>
      <c r="T71" s="349"/>
      <c r="U71" s="349"/>
      <c r="V71" s="349"/>
      <c r="W71" s="349"/>
    </row>
    <row r="72" spans="1:23" s="123" customFormat="1" ht="40.15" customHeight="1" x14ac:dyDescent="0.2">
      <c r="A72" s="349"/>
      <c r="B72" s="840" t="s">
        <v>205</v>
      </c>
      <c r="C72" s="153"/>
      <c r="D72" s="841" t="str">
        <f>IFERROR(IF($D$30=FAListas!$C$62,'TM5_parques de estacionamento'!E86/100,"0"),"")</f>
        <v>0</v>
      </c>
      <c r="E72" s="841" t="str">
        <f>IFERROR(IF($D$30=FAListas!$C$62,'TM5_parques de estacionamento'!E96/100,"0"),"")</f>
        <v>0</v>
      </c>
      <c r="F72" s="836"/>
      <c r="G72" s="836"/>
      <c r="H72" s="836"/>
      <c r="I72" s="841" t="str">
        <f>IFERROR(IF($D$30=FAListas!$C$63,'TM5_parques de estacionamento'!E86/100,""),"")</f>
        <v/>
      </c>
      <c r="J72" s="841"/>
      <c r="K72" s="349"/>
      <c r="L72" s="349"/>
      <c r="M72" s="349"/>
      <c r="N72" s="157"/>
      <c r="O72" s="157"/>
      <c r="P72" s="157"/>
      <c r="Q72" s="157"/>
      <c r="R72" s="157"/>
      <c r="S72" s="349"/>
      <c r="T72" s="349"/>
      <c r="U72" s="349"/>
      <c r="V72" s="349"/>
      <c r="W72" s="349"/>
    </row>
    <row r="73" spans="1:23" s="123" customFormat="1" ht="40.15" customHeight="1" x14ac:dyDescent="0.2">
      <c r="A73" s="349"/>
      <c r="B73" s="840" t="s">
        <v>154</v>
      </c>
      <c r="C73" s="153"/>
      <c r="D73" s="841" t="str">
        <f>IFERROR(IF($D$30=FAListas!$C$62,'TM5_parques de estacionamento'!E87/100,"0"),"")</f>
        <v>0</v>
      </c>
      <c r="E73" s="841" t="str">
        <f>IFERROR(IF($D$30=FAListas!$C$62,'TM5_parques de estacionamento'!E97/100,"0"),"")</f>
        <v>0</v>
      </c>
      <c r="F73" s="836"/>
      <c r="G73" s="836"/>
      <c r="H73" s="836"/>
      <c r="I73" s="841" t="str">
        <f>IFERROR(IF($D$30=FAListas!$C$63,'TM5_parques de estacionamento'!E87/100,""),"")</f>
        <v/>
      </c>
      <c r="J73" s="841"/>
      <c r="K73" s="349"/>
      <c r="L73" s="349"/>
      <c r="M73" s="349"/>
      <c r="N73" s="157"/>
      <c r="O73" s="157"/>
      <c r="P73" s="157"/>
      <c r="Q73" s="157"/>
      <c r="R73" s="157"/>
      <c r="S73" s="349"/>
      <c r="T73" s="349"/>
      <c r="U73" s="349"/>
      <c r="V73" s="349"/>
      <c r="W73" s="349"/>
    </row>
    <row r="74" spans="1:23" s="123" customFormat="1" ht="40.15" customHeight="1" x14ac:dyDescent="0.2">
      <c r="A74" s="349"/>
      <c r="B74" s="840" t="s">
        <v>1052</v>
      </c>
      <c r="C74" s="153"/>
      <c r="D74" s="841" t="str">
        <f>IFERROR(IF($D$30=FAListas!$C$62,'TM5_parques de estacionamento'!E88/100,"0"),"")</f>
        <v>0</v>
      </c>
      <c r="E74" s="841" t="str">
        <f>IFERROR(IF($D$30=FAListas!$C$62,'TM5_parques de estacionamento'!E98/100,"0"),"")</f>
        <v>0</v>
      </c>
      <c r="F74" s="836"/>
      <c r="G74" s="836"/>
      <c r="H74" s="836"/>
      <c r="I74" s="841" t="str">
        <f>IFERROR(IF($D$30=FAListas!$C$63,'TM5_parques de estacionamento'!E88/100,""),"")</f>
        <v/>
      </c>
      <c r="J74" s="841"/>
      <c r="K74" s="349"/>
      <c r="L74" s="349"/>
      <c r="M74" s="349"/>
      <c r="N74" s="157"/>
      <c r="O74" s="157"/>
      <c r="P74" s="157"/>
      <c r="Q74" s="157"/>
      <c r="R74" s="157"/>
      <c r="S74" s="349"/>
      <c r="T74" s="349"/>
      <c r="U74" s="349"/>
      <c r="V74" s="349"/>
      <c r="W74" s="349"/>
    </row>
    <row r="75" spans="1:23" s="123" customFormat="1" ht="40.15" customHeight="1" x14ac:dyDescent="0.2">
      <c r="A75" s="349"/>
      <c r="B75" s="840" t="s">
        <v>765</v>
      </c>
      <c r="C75" s="153"/>
      <c r="D75" s="841" t="str">
        <f>IFERROR(IF($D$30=FAListas!$C$62,'TM5_parques de estacionamento'!E89/100,"0"),"")</f>
        <v>0</v>
      </c>
      <c r="E75" s="841" t="str">
        <f>IFERROR(IF($D$30=FAListas!$C$62,'TM5_parques de estacionamento'!E99/100,"0"),"")</f>
        <v>0</v>
      </c>
      <c r="F75" s="836"/>
      <c r="G75" s="836"/>
      <c r="H75" s="836"/>
      <c r="I75" s="841" t="str">
        <f>IFERROR(IF($D$30=FAListas!$C$63,'TM5_parques de estacionamento'!E89/100,""),"")</f>
        <v/>
      </c>
      <c r="J75" s="841"/>
      <c r="K75" s="349"/>
      <c r="L75" s="349"/>
      <c r="M75" s="349"/>
      <c r="N75" s="157"/>
      <c r="O75" s="157"/>
      <c r="P75" s="157"/>
      <c r="Q75" s="157"/>
      <c r="R75" s="157"/>
      <c r="S75" s="349"/>
      <c r="T75" s="349"/>
      <c r="U75" s="349"/>
      <c r="V75" s="349"/>
      <c r="W75" s="349"/>
    </row>
    <row r="76" spans="1:23" s="123" customFormat="1" ht="40.15" customHeight="1" x14ac:dyDescent="0.2">
      <c r="A76" s="349"/>
      <c r="B76" s="838"/>
      <c r="C76" s="153"/>
      <c r="D76" s="253"/>
      <c r="E76" s="253"/>
      <c r="F76" s="832"/>
      <c r="G76" s="832"/>
      <c r="H76" s="832"/>
      <c r="I76" s="454"/>
      <c r="J76" s="454"/>
      <c r="K76" s="349"/>
      <c r="L76" s="349"/>
      <c r="M76" s="349"/>
      <c r="N76" s="157"/>
      <c r="O76" s="157"/>
      <c r="P76" s="157"/>
      <c r="Q76" s="157"/>
      <c r="R76" s="157"/>
      <c r="S76" s="349"/>
      <c r="T76" s="349"/>
      <c r="U76" s="349"/>
      <c r="V76" s="349"/>
      <c r="W76" s="349"/>
    </row>
    <row r="77" spans="1:23" s="123" customFormat="1" ht="40.15" customHeight="1" x14ac:dyDescent="0.2">
      <c r="B77" s="454"/>
      <c r="C77" s="153"/>
      <c r="D77" s="253"/>
      <c r="E77" s="253"/>
      <c r="F77" s="157"/>
      <c r="G77" s="157"/>
      <c r="H77" s="157"/>
      <c r="I77" s="252"/>
      <c r="J77" s="252"/>
      <c r="K77" s="141"/>
      <c r="L77" s="141"/>
      <c r="M77" s="141"/>
      <c r="N77" s="124"/>
      <c r="O77" s="124"/>
      <c r="S77" s="141"/>
      <c r="T77" s="141"/>
      <c r="U77" s="141"/>
      <c r="V77" s="141"/>
      <c r="W77" s="141"/>
    </row>
    <row r="78" spans="1:23" s="123" customFormat="1" ht="40.15" customHeight="1" x14ac:dyDescent="0.2">
      <c r="B78" s="171" t="s">
        <v>1053</v>
      </c>
      <c r="C78" s="844"/>
      <c r="D78" s="108" t="s">
        <v>172</v>
      </c>
      <c r="E78" s="108" t="s">
        <v>1044</v>
      </c>
      <c r="F78" s="608"/>
      <c r="G78" s="608"/>
      <c r="H78" s="608"/>
      <c r="I78" s="835" t="s">
        <v>172</v>
      </c>
      <c r="J78" s="108"/>
      <c r="K78" s="608"/>
      <c r="L78" s="608"/>
      <c r="M78" s="608"/>
      <c r="N78" s="101"/>
      <c r="O78" s="101"/>
      <c r="P78" s="101"/>
      <c r="Q78" s="101"/>
      <c r="R78" s="101"/>
      <c r="S78" s="101"/>
      <c r="T78" s="101"/>
      <c r="U78" s="101"/>
      <c r="V78" s="101"/>
      <c r="W78" s="101"/>
    </row>
    <row r="79" spans="1:23" s="123" customFormat="1" ht="40.15" customHeight="1" x14ac:dyDescent="0.2">
      <c r="B79" s="840" t="s">
        <v>1049</v>
      </c>
      <c r="C79" s="844"/>
      <c r="D79" s="114">
        <f>SUM($G$14:$G$19)*D68</f>
        <v>0</v>
      </c>
      <c r="E79" s="114">
        <f>$G$20*E68</f>
        <v>0</v>
      </c>
      <c r="F79" s="608"/>
      <c r="G79" s="608"/>
      <c r="H79" s="608"/>
      <c r="I79" s="114" t="str">
        <f>IFERROR(SUM($H$14:$H$19)*I68,"")</f>
        <v/>
      </c>
      <c r="J79" s="114">
        <f t="shared" ref="J79:J86" si="5">IFERROR($G$20*J68,"")</f>
        <v>0</v>
      </c>
      <c r="K79" s="608"/>
      <c r="L79" s="608"/>
      <c r="M79" s="608"/>
      <c r="N79" s="101"/>
      <c r="O79" s="101"/>
      <c r="P79" s="101"/>
      <c r="Q79" s="101"/>
      <c r="R79" s="101"/>
      <c r="S79" s="101"/>
      <c r="T79" s="101"/>
      <c r="U79" s="101"/>
      <c r="V79" s="101"/>
      <c r="W79" s="101"/>
    </row>
    <row r="80" spans="1:23" s="123" customFormat="1" ht="40.15" customHeight="1" x14ac:dyDescent="0.2">
      <c r="B80" s="840" t="s">
        <v>1050</v>
      </c>
      <c r="C80" s="844"/>
      <c r="D80" s="114">
        <f t="shared" ref="D80:D86" si="6">SUM($G$14:$G$19)*D69</f>
        <v>0</v>
      </c>
      <c r="E80" s="114">
        <f t="shared" ref="E80:E86" si="7">$G$20*E69</f>
        <v>0</v>
      </c>
      <c r="F80" s="608"/>
      <c r="G80" s="608"/>
      <c r="H80" s="608"/>
      <c r="I80" s="114" t="str">
        <f t="shared" ref="I80:I84" si="8">IFERROR(SUM($H$14:$H$19)*I69,"")</f>
        <v/>
      </c>
      <c r="J80" s="114">
        <f t="shared" si="5"/>
        <v>0</v>
      </c>
      <c r="K80" s="608"/>
      <c r="L80" s="608"/>
      <c r="M80" s="608"/>
      <c r="N80" s="101"/>
      <c r="O80" s="101"/>
      <c r="P80" s="101"/>
      <c r="Q80" s="101"/>
      <c r="R80" s="101"/>
      <c r="S80" s="101"/>
      <c r="T80" s="101"/>
      <c r="U80" s="101"/>
      <c r="V80" s="101"/>
      <c r="W80" s="101"/>
    </row>
    <row r="81" spans="1:23" s="123" customFormat="1" ht="40.15" customHeight="1" x14ac:dyDescent="0.2">
      <c r="B81" s="840" t="s">
        <v>1051</v>
      </c>
      <c r="C81" s="146"/>
      <c r="D81" s="114">
        <f t="shared" si="6"/>
        <v>0</v>
      </c>
      <c r="E81" s="114">
        <f t="shared" si="7"/>
        <v>0</v>
      </c>
      <c r="F81" s="842"/>
      <c r="G81" s="842"/>
      <c r="H81" s="842"/>
      <c r="I81" s="114" t="str">
        <f t="shared" si="8"/>
        <v/>
      </c>
      <c r="J81" s="114">
        <f t="shared" si="5"/>
        <v>0</v>
      </c>
      <c r="K81" s="842"/>
      <c r="L81" s="842"/>
      <c r="M81" s="842"/>
      <c r="N81" s="141"/>
      <c r="O81" s="141"/>
      <c r="P81" s="141"/>
      <c r="Q81" s="141"/>
      <c r="R81" s="141"/>
      <c r="S81" s="157"/>
      <c r="T81" s="157"/>
      <c r="U81" s="157"/>
      <c r="V81" s="157"/>
      <c r="W81" s="157"/>
    </row>
    <row r="82" spans="1:23" s="123" customFormat="1" ht="40.15" customHeight="1" x14ac:dyDescent="0.2">
      <c r="B82" s="840" t="s">
        <v>261</v>
      </c>
      <c r="C82" s="146"/>
      <c r="D82" s="114">
        <f t="shared" si="6"/>
        <v>0</v>
      </c>
      <c r="E82" s="114">
        <f t="shared" si="7"/>
        <v>0</v>
      </c>
      <c r="F82" s="842"/>
      <c r="G82" s="842"/>
      <c r="H82" s="842"/>
      <c r="I82" s="114" t="str">
        <f t="shared" si="8"/>
        <v/>
      </c>
      <c r="J82" s="114">
        <f t="shared" si="5"/>
        <v>0</v>
      </c>
      <c r="K82" s="842"/>
      <c r="L82" s="842"/>
      <c r="M82" s="842"/>
      <c r="N82" s="141"/>
      <c r="O82" s="141"/>
      <c r="P82" s="141"/>
      <c r="Q82" s="141"/>
      <c r="R82" s="141"/>
      <c r="S82" s="157"/>
      <c r="T82" s="157"/>
      <c r="U82" s="157"/>
      <c r="V82" s="157"/>
      <c r="W82" s="157"/>
    </row>
    <row r="83" spans="1:23" s="123" customFormat="1" ht="40.15" customHeight="1" x14ac:dyDescent="0.2">
      <c r="B83" s="840" t="s">
        <v>205</v>
      </c>
      <c r="C83" s="149"/>
      <c r="D83" s="114">
        <f t="shared" si="6"/>
        <v>0</v>
      </c>
      <c r="E83" s="114">
        <f t="shared" si="7"/>
        <v>0</v>
      </c>
      <c r="F83" s="842"/>
      <c r="G83" s="842"/>
      <c r="H83" s="842"/>
      <c r="I83" s="114" t="str">
        <f>IFERROR(SUM($H$14:$H$19)*I72,"")</f>
        <v/>
      </c>
      <c r="J83" s="114">
        <f t="shared" si="5"/>
        <v>0</v>
      </c>
      <c r="K83" s="842"/>
      <c r="L83" s="842"/>
      <c r="M83" s="842"/>
      <c r="N83" s="141"/>
      <c r="O83" s="141"/>
      <c r="P83" s="141"/>
      <c r="Q83" s="141"/>
      <c r="R83" s="141"/>
      <c r="S83" s="157"/>
      <c r="T83" s="157"/>
      <c r="U83" s="157"/>
      <c r="V83" s="157"/>
      <c r="W83" s="157"/>
    </row>
    <row r="84" spans="1:23" s="123" customFormat="1" ht="40.15" customHeight="1" x14ac:dyDescent="0.2">
      <c r="B84" s="840" t="s">
        <v>154</v>
      </c>
      <c r="C84" s="149"/>
      <c r="D84" s="114">
        <f t="shared" si="6"/>
        <v>0</v>
      </c>
      <c r="E84" s="114">
        <f t="shared" si="7"/>
        <v>0</v>
      </c>
      <c r="F84" s="842"/>
      <c r="G84" s="842"/>
      <c r="H84" s="842"/>
      <c r="I84" s="114" t="str">
        <f t="shared" si="8"/>
        <v/>
      </c>
      <c r="J84" s="114">
        <f t="shared" si="5"/>
        <v>0</v>
      </c>
      <c r="K84" s="842"/>
      <c r="L84" s="842"/>
      <c r="M84" s="842"/>
      <c r="N84" s="141"/>
      <c r="O84" s="141"/>
      <c r="P84" s="141"/>
      <c r="Q84" s="141"/>
      <c r="R84" s="141"/>
      <c r="S84" s="157"/>
      <c r="T84" s="157"/>
      <c r="U84" s="157"/>
      <c r="V84" s="157"/>
      <c r="W84" s="157"/>
    </row>
    <row r="85" spans="1:23" s="123" customFormat="1" ht="40.15" customHeight="1" x14ac:dyDescent="0.2">
      <c r="B85" s="840" t="s">
        <v>1052</v>
      </c>
      <c r="C85" s="149"/>
      <c r="D85" s="114">
        <f t="shared" si="6"/>
        <v>0</v>
      </c>
      <c r="E85" s="114">
        <f t="shared" si="7"/>
        <v>0</v>
      </c>
      <c r="F85" s="842"/>
      <c r="G85" s="842"/>
      <c r="H85" s="842"/>
      <c r="I85" s="114" t="str">
        <f>IFERROR(SUM($H$14:$H$19)*I74,"")</f>
        <v/>
      </c>
      <c r="J85" s="114">
        <f t="shared" si="5"/>
        <v>0</v>
      </c>
      <c r="K85" s="842"/>
      <c r="L85" s="842"/>
      <c r="M85" s="842"/>
      <c r="N85" s="141"/>
      <c r="O85" s="141"/>
      <c r="P85" s="141"/>
      <c r="Q85" s="141"/>
      <c r="R85" s="141"/>
      <c r="S85" s="157"/>
      <c r="T85" s="157"/>
      <c r="U85" s="157"/>
      <c r="V85" s="157"/>
      <c r="W85" s="157"/>
    </row>
    <row r="86" spans="1:23" s="123" customFormat="1" ht="40.15" customHeight="1" x14ac:dyDescent="0.2">
      <c r="B86" s="840" t="s">
        <v>1056</v>
      </c>
      <c r="C86" s="149"/>
      <c r="D86" s="114">
        <f t="shared" si="6"/>
        <v>0</v>
      </c>
      <c r="E86" s="114">
        <f t="shared" si="7"/>
        <v>0</v>
      </c>
      <c r="F86" s="842"/>
      <c r="G86" s="842"/>
      <c r="H86" s="842"/>
      <c r="I86" s="114">
        <v>0</v>
      </c>
      <c r="J86" s="114">
        <f t="shared" si="5"/>
        <v>0</v>
      </c>
      <c r="K86" s="842"/>
      <c r="L86" s="842"/>
      <c r="M86" s="842"/>
      <c r="N86" s="141"/>
      <c r="O86" s="141"/>
      <c r="P86" s="141"/>
      <c r="Q86" s="141"/>
      <c r="R86" s="141"/>
      <c r="S86" s="157"/>
      <c r="T86" s="157"/>
      <c r="U86" s="157"/>
      <c r="V86" s="157"/>
      <c r="W86" s="157"/>
    </row>
    <row r="87" spans="1:23" s="123" customFormat="1" ht="20.45" customHeight="1" x14ac:dyDescent="0.2">
      <c r="B87" s="156"/>
      <c r="C87" s="149"/>
      <c r="D87" s="124"/>
      <c r="E87" s="124"/>
      <c r="F87" s="124"/>
      <c r="G87" s="124"/>
      <c r="H87" s="124"/>
      <c r="I87" s="124"/>
      <c r="J87" s="124"/>
      <c r="K87" s="124"/>
      <c r="L87" s="124"/>
      <c r="M87" s="124"/>
      <c r="N87" s="124"/>
      <c r="O87" s="124"/>
      <c r="S87" s="124"/>
      <c r="T87" s="124"/>
      <c r="U87" s="124"/>
      <c r="V87" s="124"/>
      <c r="W87" s="124"/>
    </row>
    <row r="88" spans="1:23" s="123" customFormat="1" ht="40.15" customHeight="1" x14ac:dyDescent="0.2">
      <c r="B88" s="845" t="s">
        <v>964</v>
      </c>
      <c r="C88" s="846"/>
      <c r="D88" s="847" t="s">
        <v>172</v>
      </c>
      <c r="E88" s="847" t="s">
        <v>1044</v>
      </c>
      <c r="F88" s="848"/>
      <c r="G88" s="848"/>
      <c r="H88" s="848"/>
      <c r="I88" s="835" t="s">
        <v>172</v>
      </c>
      <c r="J88" s="108" t="s">
        <v>1044</v>
      </c>
      <c r="K88" s="848"/>
      <c r="L88" s="848"/>
      <c r="M88" s="848"/>
      <c r="N88" s="101"/>
      <c r="O88" s="101"/>
      <c r="P88" s="101"/>
      <c r="Q88" s="101"/>
      <c r="R88" s="101"/>
      <c r="S88" s="101"/>
      <c r="T88" s="101"/>
      <c r="U88" s="101"/>
      <c r="V88" s="101"/>
      <c r="W88" s="101"/>
    </row>
    <row r="89" spans="1:23" s="123" customFormat="1" ht="40.15" customHeight="1" x14ac:dyDescent="0.2">
      <c r="B89" s="840" t="s">
        <v>1049</v>
      </c>
      <c r="C89" s="849"/>
      <c r="D89" s="157">
        <f>IFERROR((D79*$H$55/1000),"")</f>
        <v>0</v>
      </c>
      <c r="E89" s="157">
        <f>IFERROR((E79*$H$55/1000),"")</f>
        <v>0</v>
      </c>
      <c r="F89" s="850"/>
      <c r="G89" s="850"/>
      <c r="H89" s="850"/>
      <c r="I89" s="157" t="str">
        <f>IFERROR((I79*$H$55/1000),"")</f>
        <v/>
      </c>
      <c r="J89" s="157">
        <f>IFERROR((J79*$H$55/1000),"")</f>
        <v>0</v>
      </c>
      <c r="K89" s="850"/>
      <c r="L89" s="850"/>
      <c r="M89" s="850"/>
      <c r="N89" s="101"/>
      <c r="O89" s="101"/>
      <c r="P89" s="101"/>
      <c r="Q89" s="101"/>
      <c r="R89" s="101"/>
      <c r="S89" s="101"/>
      <c r="T89" s="101"/>
      <c r="U89" s="101"/>
      <c r="V89" s="101"/>
      <c r="W89" s="101"/>
    </row>
    <row r="90" spans="1:23" s="123" customFormat="1" ht="40.15" customHeight="1" x14ac:dyDescent="0.2">
      <c r="B90" s="840" t="s">
        <v>1050</v>
      </c>
      <c r="C90" s="849"/>
      <c r="D90" s="157">
        <f>IFERROR((D80*$H$56/1000),"")</f>
        <v>0</v>
      </c>
      <c r="E90" s="157">
        <f>IFERROR((E80*$H$56/1000),"")</f>
        <v>0</v>
      </c>
      <c r="F90" s="850"/>
      <c r="G90" s="850"/>
      <c r="H90" s="850"/>
      <c r="I90" s="157" t="str">
        <f>IFERROR((I80*$H$56/1000),"")</f>
        <v/>
      </c>
      <c r="J90" s="157">
        <f>IFERROR((J80*$H$56/1000),"")</f>
        <v>0</v>
      </c>
      <c r="K90" s="850"/>
      <c r="L90" s="850"/>
      <c r="M90" s="850"/>
      <c r="N90" s="101"/>
      <c r="O90" s="101"/>
      <c r="P90" s="101"/>
      <c r="Q90" s="101"/>
      <c r="R90" s="101"/>
      <c r="S90" s="101"/>
      <c r="T90" s="101"/>
      <c r="U90" s="101"/>
      <c r="V90" s="101"/>
      <c r="W90" s="101"/>
    </row>
    <row r="91" spans="1:23" s="123" customFormat="1" ht="40.15" customHeight="1" x14ac:dyDescent="0.2">
      <c r="B91" s="840" t="s">
        <v>1051</v>
      </c>
      <c r="C91" s="849"/>
      <c r="D91" s="157">
        <f>IFERROR((D81*$H$58/1000),"")</f>
        <v>0</v>
      </c>
      <c r="E91" s="157">
        <f>IFERROR((E81*$H$58/1000),"")</f>
        <v>0</v>
      </c>
      <c r="F91" s="850"/>
      <c r="G91" s="850"/>
      <c r="H91" s="850"/>
      <c r="I91" s="157" t="str">
        <f>IFERROR((I81*$H$58/1000),"")</f>
        <v/>
      </c>
      <c r="J91" s="157">
        <f>IFERROR((J81*$H$58/1000),"")</f>
        <v>0</v>
      </c>
      <c r="K91" s="850"/>
      <c r="L91" s="850"/>
      <c r="M91" s="850"/>
      <c r="N91" s="101"/>
      <c r="O91" s="101"/>
      <c r="P91" s="101"/>
      <c r="Q91" s="101"/>
      <c r="R91" s="101"/>
      <c r="S91" s="101"/>
      <c r="T91" s="101"/>
      <c r="U91" s="101"/>
      <c r="V91" s="101"/>
      <c r="W91" s="101"/>
    </row>
    <row r="92" spans="1:23" s="123" customFormat="1" ht="40.15" customHeight="1" x14ac:dyDescent="0.2">
      <c r="B92" s="840" t="s">
        <v>261</v>
      </c>
      <c r="C92" s="150"/>
      <c r="D92" s="157">
        <f>IFERROR((D82*$J$47/1000),"")</f>
        <v>0</v>
      </c>
      <c r="E92" s="157">
        <f>IFERROR((E82*$J$47/1000),"")</f>
        <v>0</v>
      </c>
      <c r="F92" s="836"/>
      <c r="G92" s="836"/>
      <c r="H92" s="836"/>
      <c r="I92" s="157" t="str">
        <f>IFERROR((I82*$J$47/1000),"")</f>
        <v/>
      </c>
      <c r="J92" s="157">
        <f>IFERROR((J82*$J$47/1000),"")</f>
        <v>0</v>
      </c>
      <c r="K92" s="836"/>
      <c r="L92" s="836"/>
      <c r="M92" s="836"/>
      <c r="N92" s="157"/>
      <c r="O92" s="157"/>
      <c r="P92" s="157"/>
      <c r="Q92" s="157"/>
      <c r="R92" s="157"/>
      <c r="S92" s="157"/>
      <c r="T92" s="157"/>
      <c r="U92" s="157"/>
      <c r="V92" s="157"/>
      <c r="W92" s="157"/>
    </row>
    <row r="93" spans="1:23" s="123" customFormat="1" ht="40.15" customHeight="1" x14ac:dyDescent="0.2">
      <c r="A93" s="158"/>
      <c r="B93" s="840" t="s">
        <v>205</v>
      </c>
      <c r="C93" s="150"/>
      <c r="D93" s="157" t="str">
        <f>IFERROR((D83*$H$51/1000),"")</f>
        <v/>
      </c>
      <c r="E93" s="157" t="str">
        <f>IFERROR((E83*$H$51/1000),"")</f>
        <v/>
      </c>
      <c r="F93" s="836"/>
      <c r="G93" s="836"/>
      <c r="H93" s="836"/>
      <c r="I93" s="157" t="str">
        <f>IFERROR((I83*$H$51/1000),"")</f>
        <v/>
      </c>
      <c r="J93" s="157" t="str">
        <f>IFERROR((J83*$H$51/1000),"")</f>
        <v/>
      </c>
      <c r="K93" s="836"/>
      <c r="L93" s="836"/>
      <c r="M93" s="836"/>
      <c r="N93" s="157"/>
      <c r="O93" s="157"/>
      <c r="P93" s="157"/>
      <c r="Q93" s="157"/>
      <c r="R93" s="157"/>
      <c r="S93" s="157"/>
      <c r="T93" s="157"/>
      <c r="U93" s="157"/>
      <c r="V93" s="157"/>
      <c r="W93" s="157"/>
    </row>
    <row r="94" spans="1:23" s="123" customFormat="1" ht="40.15" customHeight="1" x14ac:dyDescent="0.2">
      <c r="B94" s="840" t="s">
        <v>154</v>
      </c>
      <c r="C94" s="150"/>
      <c r="D94" s="157">
        <f>IFERROR((D84*$H$53/1000),"")</f>
        <v>0</v>
      </c>
      <c r="E94" s="157">
        <f>IFERROR((E84*$H$53/1000),"")</f>
        <v>0</v>
      </c>
      <c r="F94" s="836"/>
      <c r="G94" s="836"/>
      <c r="H94" s="836"/>
      <c r="I94" s="157" t="str">
        <f>IFERROR((I84*$H$53/1000),"")</f>
        <v/>
      </c>
      <c r="J94" s="157">
        <f>IFERROR((J84*$H$53/1000),"")</f>
        <v>0</v>
      </c>
      <c r="K94" s="836"/>
      <c r="L94" s="836"/>
      <c r="M94" s="836"/>
      <c r="N94" s="157"/>
      <c r="O94" s="157"/>
      <c r="P94" s="157"/>
      <c r="Q94" s="157"/>
      <c r="R94" s="157"/>
      <c r="S94" s="157"/>
      <c r="T94" s="157"/>
      <c r="U94" s="157"/>
      <c r="V94" s="157"/>
      <c r="W94" s="157"/>
    </row>
    <row r="95" spans="1:23" s="123" customFormat="1" ht="40.15" customHeight="1" x14ac:dyDescent="0.2">
      <c r="B95" s="840" t="s">
        <v>1052</v>
      </c>
      <c r="C95" s="150"/>
      <c r="D95" s="157">
        <f>IFERROR((D85*$H$52/1000),"")</f>
        <v>0</v>
      </c>
      <c r="E95" s="157">
        <f>IFERROR((E85*$H$52/1000),"")</f>
        <v>0</v>
      </c>
      <c r="F95" s="836"/>
      <c r="G95" s="836"/>
      <c r="H95" s="836"/>
      <c r="I95" s="157" t="str">
        <f>IFERROR((I85*$H$52/1000),"")</f>
        <v/>
      </c>
      <c r="J95" s="157">
        <f>IFERROR((J85*$H$52/1000),"")</f>
        <v>0</v>
      </c>
      <c r="K95" s="836"/>
      <c r="L95" s="836"/>
      <c r="M95" s="836"/>
      <c r="N95" s="157"/>
      <c r="O95" s="157"/>
      <c r="P95" s="157"/>
      <c r="Q95" s="157"/>
      <c r="R95" s="157"/>
      <c r="S95" s="157"/>
      <c r="T95" s="157"/>
      <c r="U95" s="157"/>
      <c r="V95" s="157"/>
      <c r="W95" s="157"/>
    </row>
    <row r="96" spans="1:23" s="123" customFormat="1" ht="40.15" customHeight="1" x14ac:dyDescent="0.2">
      <c r="B96" s="840" t="s">
        <v>1056</v>
      </c>
      <c r="C96" s="150"/>
      <c r="D96" s="157">
        <f>IFERROR((D86*$H$54/1000),"")</f>
        <v>0</v>
      </c>
      <c r="E96" s="157">
        <f>IFERROR((E86*$H$54/1000),"")</f>
        <v>0</v>
      </c>
      <c r="F96" s="836"/>
      <c r="G96" s="836"/>
      <c r="H96" s="836"/>
      <c r="I96" s="157">
        <f>IFERROR((I86*$H$54/1000),"")</f>
        <v>0</v>
      </c>
      <c r="J96" s="157">
        <f>IFERROR((J86*$H$54/1000),"")</f>
        <v>0</v>
      </c>
      <c r="K96" s="836"/>
      <c r="L96" s="836"/>
      <c r="M96" s="836"/>
      <c r="N96" s="157"/>
      <c r="O96" s="157"/>
      <c r="P96" s="157"/>
      <c r="Q96" s="157"/>
      <c r="R96" s="157"/>
      <c r="S96" s="157"/>
      <c r="T96" s="157"/>
      <c r="U96" s="157"/>
      <c r="V96" s="157"/>
      <c r="W96" s="157"/>
    </row>
    <row r="97" spans="2:23" ht="40.15" customHeight="1" x14ac:dyDescent="0.25">
      <c r="B97" s="250" t="s">
        <v>5</v>
      </c>
      <c r="C97" s="173"/>
      <c r="D97" s="456">
        <f>SUM(D89:D96)</f>
        <v>0</v>
      </c>
      <c r="E97" s="456">
        <f>SUM(E89:E96)</f>
        <v>0</v>
      </c>
      <c r="F97" s="843"/>
      <c r="G97" s="843"/>
      <c r="H97" s="843"/>
      <c r="I97" s="455">
        <f>SUM(I89:I96)</f>
        <v>0</v>
      </c>
      <c r="J97" s="455">
        <f>SUM(J89:J96)</f>
        <v>0</v>
      </c>
      <c r="K97" s="843"/>
      <c r="L97" s="843"/>
      <c r="M97" s="843"/>
      <c r="N97" s="189"/>
      <c r="O97" s="189"/>
      <c r="P97" s="189"/>
      <c r="Q97" s="189"/>
      <c r="R97" s="189"/>
      <c r="S97" s="189"/>
      <c r="T97" s="189"/>
      <c r="U97" s="189"/>
      <c r="V97" s="189"/>
      <c r="W97" s="189"/>
    </row>
    <row r="98" spans="2:23" ht="40.15" customHeight="1" x14ac:dyDescent="0.25">
      <c r="B98" s="3"/>
      <c r="C98" s="3"/>
      <c r="D98" s="189"/>
      <c r="E98" s="189"/>
      <c r="F98" s="268" t="s">
        <v>877</v>
      </c>
      <c r="G98" s="269">
        <f>SUM(D97:E97)</f>
        <v>0</v>
      </c>
      <c r="H98" s="124"/>
      <c r="I98" s="189"/>
      <c r="J98" s="189"/>
      <c r="K98" s="189"/>
      <c r="L98" s="268" t="s">
        <v>878</v>
      </c>
      <c r="M98" s="269">
        <f>SUM(I97:J97)</f>
        <v>0</v>
      </c>
      <c r="N98" s="189"/>
      <c r="O98" s="189"/>
      <c r="P98" s="360"/>
      <c r="Q98" s="361"/>
      <c r="R98" s="124"/>
      <c r="S98" s="189"/>
      <c r="T98" s="189"/>
      <c r="U98" s="189"/>
      <c r="V98" s="360"/>
      <c r="W98" s="361"/>
    </row>
    <row r="99" spans="2:23" ht="40.15" customHeight="1" x14ac:dyDescent="0.25">
      <c r="B99" s="3"/>
      <c r="C99" s="3"/>
      <c r="D99" s="189"/>
      <c r="E99" s="189"/>
      <c r="F99" s="189"/>
      <c r="G99" s="189"/>
      <c r="H99" s="124"/>
      <c r="I99" s="189"/>
      <c r="J99" s="189"/>
      <c r="K99" s="189"/>
      <c r="L99" s="189"/>
      <c r="M99" s="189"/>
    </row>
    <row r="100" spans="2:23" ht="40.15" customHeight="1" x14ac:dyDescent="0.25">
      <c r="B100" s="3"/>
      <c r="C100" s="3"/>
      <c r="D100" s="189"/>
      <c r="E100" s="189"/>
      <c r="F100" s="189"/>
      <c r="G100" s="189"/>
      <c r="H100" s="124"/>
      <c r="I100" s="189"/>
      <c r="J100" s="189"/>
      <c r="K100" s="189"/>
      <c r="L100" s="189"/>
      <c r="M100" s="189"/>
    </row>
    <row r="101" spans="2:23" s="190" customFormat="1" ht="75" customHeight="1" x14ac:dyDescent="0.35">
      <c r="B101" s="193" t="s">
        <v>1178</v>
      </c>
      <c r="C101" s="725">
        <f>G98+M98</f>
        <v>0</v>
      </c>
      <c r="D101" s="191"/>
      <c r="E101" s="457"/>
      <c r="F101" s="517"/>
      <c r="G101" s="191"/>
      <c r="H101" s="192"/>
      <c r="I101" s="191"/>
      <c r="J101" s="191"/>
      <c r="K101" s="191"/>
      <c r="L101" s="191"/>
      <c r="M101" s="191"/>
      <c r="N101" s="192"/>
      <c r="O101" s="192"/>
    </row>
    <row r="102" spans="2:23" s="194" customFormat="1" ht="75" customHeight="1" x14ac:dyDescent="0.35">
      <c r="B102" s="195"/>
      <c r="C102" s="196"/>
      <c r="D102" s="196"/>
      <c r="E102" s="196"/>
      <c r="F102" s="196"/>
      <c r="G102" s="196"/>
      <c r="H102" s="197"/>
      <c r="I102" s="196"/>
      <c r="J102" s="196"/>
      <c r="K102" s="196"/>
      <c r="L102" s="196"/>
      <c r="M102" s="196"/>
      <c r="N102" s="197"/>
      <c r="O102" s="197"/>
    </row>
    <row r="103" spans="2:23" s="198" customFormat="1" ht="40.15" customHeight="1" x14ac:dyDescent="0.25">
      <c r="B103" s="202" t="s">
        <v>881</v>
      </c>
      <c r="C103" s="199"/>
      <c r="D103" s="200"/>
      <c r="E103" s="200"/>
      <c r="F103" s="200"/>
      <c r="G103" s="200"/>
      <c r="H103" s="201"/>
      <c r="I103" s="200"/>
      <c r="J103" s="200"/>
      <c r="K103" s="200"/>
      <c r="L103" s="200"/>
      <c r="M103" s="200"/>
      <c r="N103" s="201"/>
      <c r="O103" s="201"/>
    </row>
    <row r="104" spans="2:23" ht="40.15" customHeight="1" x14ac:dyDescent="0.25">
      <c r="B104" s="3"/>
      <c r="C104" s="3"/>
      <c r="D104" s="189"/>
      <c r="E104" s="189"/>
      <c r="F104" s="189"/>
      <c r="G104" s="189"/>
      <c r="I104" s="189"/>
      <c r="J104" s="189"/>
      <c r="K104" s="189"/>
      <c r="L104" s="189"/>
      <c r="M104" s="189"/>
    </row>
    <row r="105" spans="2:23" ht="19.899999999999999" customHeight="1" x14ac:dyDescent="0.25">
      <c r="B105" s="176" t="s">
        <v>252</v>
      </c>
      <c r="C105" s="175"/>
      <c r="D105" s="177"/>
      <c r="E105" s="177"/>
      <c r="F105" s="177"/>
      <c r="G105" s="177"/>
      <c r="H105" s="177"/>
      <c r="I105" s="177"/>
      <c r="J105" s="177"/>
      <c r="K105" s="189"/>
      <c r="L105" s="189"/>
      <c r="M105" s="189"/>
    </row>
    <row r="106" spans="2:23" ht="19.899999999999999" customHeight="1" x14ac:dyDescent="0.25">
      <c r="B106" s="176"/>
      <c r="C106" s="175"/>
      <c r="D106" s="177"/>
      <c r="E106" s="177"/>
      <c r="F106" s="177"/>
      <c r="G106" s="177"/>
      <c r="H106" s="177"/>
      <c r="I106" s="177"/>
      <c r="J106" s="177"/>
      <c r="K106" s="189"/>
      <c r="L106" s="189"/>
      <c r="M106" s="189"/>
    </row>
    <row r="107" spans="2:23" ht="19.899999999999999" customHeight="1" x14ac:dyDescent="0.25">
      <c r="B107" s="120" t="s">
        <v>253</v>
      </c>
      <c r="C107" s="179" t="s">
        <v>77</v>
      </c>
      <c r="D107" s="122" t="s">
        <v>879</v>
      </c>
      <c r="E107" s="122" t="s">
        <v>256</v>
      </c>
      <c r="F107" s="177"/>
      <c r="G107" s="120" t="s">
        <v>258</v>
      </c>
      <c r="H107" s="179" t="s">
        <v>77</v>
      </c>
      <c r="I107" s="122" t="s">
        <v>880</v>
      </c>
      <c r="J107" s="122" t="s">
        <v>256</v>
      </c>
      <c r="K107" s="189"/>
      <c r="L107" s="189"/>
      <c r="M107" s="189"/>
    </row>
    <row r="108" spans="2:23" ht="19.899999999999999" customHeight="1" x14ac:dyDescent="0.25">
      <c r="B108" s="176" t="s">
        <v>125</v>
      </c>
      <c r="C108" s="178">
        <v>0.55000000000000004</v>
      </c>
      <c r="D108" s="180">
        <f>'Fatores de Emissão'!I99</f>
        <v>3.0562499999999999E-2</v>
      </c>
      <c r="E108" s="181">
        <f t="shared" ref="E108:E113" si="9">C108*D108</f>
        <v>1.6809375000000001E-2</v>
      </c>
      <c r="F108" s="177"/>
      <c r="G108" s="176" t="s">
        <v>125</v>
      </c>
      <c r="H108" s="178">
        <v>0.84</v>
      </c>
      <c r="I108" s="177">
        <f>'Fatores de Emissão'!I63</f>
        <v>6.4276816608996538E-3</v>
      </c>
      <c r="J108" s="181">
        <f>H108*I108</f>
        <v>5.3992525951557088E-3</v>
      </c>
      <c r="K108" s="189"/>
      <c r="L108" s="189"/>
      <c r="M108" s="189"/>
    </row>
    <row r="109" spans="2:23" ht="19.899999999999999" customHeight="1" x14ac:dyDescent="0.25">
      <c r="B109" s="176" t="s">
        <v>227</v>
      </c>
      <c r="C109" s="178">
        <v>0.38</v>
      </c>
      <c r="D109" s="180">
        <f>'Fatores de Emissão'!I93</f>
        <v>3.0562499999999999E-2</v>
      </c>
      <c r="E109" s="181">
        <f t="shared" si="9"/>
        <v>1.1613749999999999E-2</v>
      </c>
      <c r="F109" s="177"/>
      <c r="G109" s="176" t="s">
        <v>89</v>
      </c>
      <c r="H109" s="178">
        <v>0.16</v>
      </c>
      <c r="I109" s="177">
        <f>'Fatores de Emissão'!I68</f>
        <v>6.2449826989619374E-3</v>
      </c>
      <c r="J109" s="181">
        <f>H109*I109</f>
        <v>9.9919723183390999E-4</v>
      </c>
      <c r="K109" s="189"/>
      <c r="L109" s="189"/>
      <c r="M109" s="189"/>
    </row>
    <row r="110" spans="2:23" ht="19.899999999999999" customHeight="1" x14ac:dyDescent="0.25">
      <c r="B110" s="176" t="s">
        <v>230</v>
      </c>
      <c r="C110" s="178">
        <v>0.01</v>
      </c>
      <c r="D110" s="180">
        <f>'Fatores de Emissão'!I102</f>
        <v>3.0562499999999999E-2</v>
      </c>
      <c r="E110" s="181">
        <f t="shared" si="9"/>
        <v>3.0562500000000002E-4</v>
      </c>
      <c r="F110" s="177"/>
      <c r="G110" s="182" t="s">
        <v>246</v>
      </c>
      <c r="H110" s="183"/>
      <c r="I110" s="184"/>
      <c r="J110" s="185">
        <f>SUM(J104:J109)</f>
        <v>6.3984498269896188E-3</v>
      </c>
      <c r="K110" s="189"/>
      <c r="L110" s="189"/>
      <c r="M110" s="189"/>
    </row>
    <row r="111" spans="2:23" ht="19.899999999999999" customHeight="1" x14ac:dyDescent="0.25">
      <c r="B111" s="176" t="s">
        <v>255</v>
      </c>
      <c r="C111" s="178">
        <v>0.02</v>
      </c>
      <c r="D111" s="180">
        <f>'Fatores de Emissão'!G9</f>
        <v>8.712499999999998E-2</v>
      </c>
      <c r="E111" s="181">
        <f t="shared" si="9"/>
        <v>1.7424999999999997E-3</v>
      </c>
      <c r="F111" s="177"/>
      <c r="G111" s="177"/>
      <c r="H111" s="177"/>
      <c r="I111" s="177"/>
      <c r="J111" s="177"/>
      <c r="K111" s="189"/>
      <c r="L111" s="189"/>
      <c r="M111" s="189"/>
    </row>
    <row r="112" spans="2:23" ht="19.899999999999999" customHeight="1" x14ac:dyDescent="0.25">
      <c r="B112" s="176" t="s">
        <v>254</v>
      </c>
      <c r="C112" s="178">
        <v>0.02</v>
      </c>
      <c r="D112" s="180">
        <f>'Fatores de Emissão'!I96</f>
        <v>3.0562499999999999E-2</v>
      </c>
      <c r="E112" s="181">
        <f t="shared" si="9"/>
        <v>6.1125000000000003E-4</v>
      </c>
      <c r="F112" s="177"/>
      <c r="G112" s="177"/>
      <c r="H112" s="177"/>
      <c r="I112" s="177"/>
      <c r="J112" s="177"/>
      <c r="K112" s="189"/>
      <c r="L112" s="189"/>
      <c r="M112" s="189"/>
    </row>
    <row r="113" spans="1:23" ht="19.899999999999999" customHeight="1" x14ac:dyDescent="0.25">
      <c r="B113" s="176" t="s">
        <v>260</v>
      </c>
      <c r="C113" s="178">
        <v>0.02</v>
      </c>
      <c r="D113" s="180">
        <f>'Fatores de Emissão'!G10</f>
        <v>4.5937499999999992E-2</v>
      </c>
      <c r="E113" s="181">
        <f t="shared" si="9"/>
        <v>9.1874999999999986E-4</v>
      </c>
      <c r="F113" s="177"/>
      <c r="G113" s="188" t="s">
        <v>263</v>
      </c>
      <c r="H113" s="186" t="s">
        <v>9</v>
      </c>
      <c r="I113" s="177"/>
      <c r="J113" s="177"/>
      <c r="K113" s="189"/>
      <c r="L113" s="189"/>
      <c r="M113" s="189"/>
    </row>
    <row r="114" spans="1:23" ht="19.899999999999999" customHeight="1" x14ac:dyDescent="0.25">
      <c r="B114" s="182" t="s">
        <v>246</v>
      </c>
      <c r="C114" s="183"/>
      <c r="D114" s="184"/>
      <c r="E114" s="185">
        <f>SUM(E108:E113)</f>
        <v>3.2001250000000002E-2</v>
      </c>
      <c r="F114" s="177"/>
      <c r="G114" s="187" t="s">
        <v>275</v>
      </c>
      <c r="H114" s="177">
        <f>'Fatores de Emissão'!G50</f>
        <v>2E-3</v>
      </c>
      <c r="I114" s="177"/>
      <c r="J114" s="177"/>
      <c r="K114" s="189"/>
      <c r="L114" s="189"/>
      <c r="M114" s="189"/>
    </row>
    <row r="115" spans="1:23" ht="19.899999999999999" customHeight="1" x14ac:dyDescent="0.25">
      <c r="B115" s="175"/>
      <c r="C115" s="175"/>
      <c r="D115" s="177"/>
      <c r="E115" s="177"/>
      <c r="F115" s="177"/>
      <c r="G115" s="204"/>
      <c r="H115" s="270"/>
      <c r="I115" s="177"/>
      <c r="J115" s="177"/>
      <c r="K115" s="189"/>
      <c r="L115" s="189"/>
      <c r="M115" s="189"/>
    </row>
    <row r="116" spans="1:23" ht="19.899999999999999" customHeight="1" x14ac:dyDescent="0.25">
      <c r="B116" s="175"/>
      <c r="C116" s="175"/>
      <c r="D116" s="177"/>
      <c r="E116" s="177"/>
      <c r="F116" s="177"/>
      <c r="G116" s="187" t="s">
        <v>154</v>
      </c>
      <c r="H116" s="177">
        <f>'Fatores de Emissão'!G47</f>
        <v>2E-3</v>
      </c>
      <c r="I116" s="177"/>
      <c r="J116" s="177"/>
      <c r="K116" s="189"/>
      <c r="L116" s="189"/>
      <c r="M116" s="189"/>
    </row>
    <row r="117" spans="1:23" ht="19.899999999999999" customHeight="1" x14ac:dyDescent="0.25">
      <c r="B117" s="175"/>
      <c r="C117" s="175"/>
      <c r="D117" s="177"/>
      <c r="E117" s="177"/>
      <c r="F117" s="177"/>
      <c r="G117" s="187" t="s">
        <v>110</v>
      </c>
      <c r="H117" s="177">
        <v>0</v>
      </c>
      <c r="I117" s="177"/>
      <c r="J117" s="177"/>
      <c r="K117" s="189"/>
      <c r="L117" s="189"/>
      <c r="M117" s="189"/>
    </row>
    <row r="118" spans="1:23" ht="19.899999999999999" customHeight="1" x14ac:dyDescent="0.25">
      <c r="B118" s="175"/>
      <c r="C118" s="175"/>
      <c r="D118" s="177"/>
      <c r="E118" s="177"/>
      <c r="F118" s="177"/>
      <c r="G118" s="187" t="s">
        <v>266</v>
      </c>
      <c r="H118" s="177">
        <f>'Fatores de Emissão'!C54</f>
        <v>2.3E-2</v>
      </c>
      <c r="I118" s="177"/>
      <c r="J118" s="177"/>
      <c r="K118" s="189"/>
      <c r="L118" s="189"/>
      <c r="M118" s="189"/>
    </row>
    <row r="119" spans="1:23" ht="19.899999999999999" customHeight="1" x14ac:dyDescent="0.25">
      <c r="B119" s="175"/>
      <c r="C119" s="175"/>
      <c r="D119" s="177"/>
      <c r="E119" s="177"/>
      <c r="F119" s="177"/>
      <c r="G119" s="187" t="s">
        <v>109</v>
      </c>
      <c r="H119" s="177">
        <f>'Fatores de Emissão'!G14</f>
        <v>3.6999999999999998E-2</v>
      </c>
      <c r="I119" s="177"/>
      <c r="J119" s="177"/>
      <c r="K119" s="189"/>
      <c r="L119" s="189"/>
      <c r="M119" s="189"/>
    </row>
    <row r="120" spans="1:23" ht="19.899999999999999" customHeight="1" x14ac:dyDescent="0.25">
      <c r="B120" s="175"/>
      <c r="C120" s="175"/>
      <c r="D120" s="177"/>
      <c r="E120" s="177"/>
      <c r="F120" s="177"/>
      <c r="G120" s="187" t="s">
        <v>267</v>
      </c>
      <c r="H120" s="177">
        <f>'Fatores de Emissão'!G13</f>
        <v>0.01</v>
      </c>
      <c r="I120" s="177"/>
      <c r="J120" s="177"/>
      <c r="K120" s="189"/>
      <c r="L120" s="189"/>
      <c r="M120" s="189"/>
    </row>
    <row r="121" spans="1:23" ht="19.899999999999999" customHeight="1" x14ac:dyDescent="0.25">
      <c r="B121" s="175"/>
      <c r="C121" s="175"/>
      <c r="D121" s="177"/>
      <c r="E121" s="177"/>
      <c r="F121" s="177"/>
      <c r="G121" s="187" t="s">
        <v>304</v>
      </c>
      <c r="H121" s="177">
        <f>'Fatores de Emissão'!G11</f>
        <v>0.94353999999999993</v>
      </c>
      <c r="I121" s="177"/>
      <c r="J121" s="177"/>
      <c r="K121" s="189"/>
      <c r="L121" s="189"/>
      <c r="M121" s="189"/>
    </row>
    <row r="122" spans="1:23" ht="40.15" customHeight="1" x14ac:dyDescent="0.25">
      <c r="B122" s="3"/>
      <c r="C122" s="3"/>
      <c r="D122" s="189"/>
      <c r="E122" s="189"/>
      <c r="F122" s="189"/>
      <c r="G122" s="187"/>
      <c r="I122" s="189"/>
      <c r="J122" s="189"/>
      <c r="K122" s="189"/>
      <c r="L122" s="189"/>
      <c r="M122" s="189"/>
    </row>
    <row r="123" spans="1:23" ht="30" customHeight="1" x14ac:dyDescent="0.25">
      <c r="B123" s="176"/>
      <c r="C123" s="175"/>
      <c r="D123" s="177"/>
      <c r="E123" s="177"/>
      <c r="F123" s="177"/>
      <c r="G123" s="175"/>
      <c r="H123" s="175"/>
      <c r="I123" s="177"/>
      <c r="J123" s="177"/>
      <c r="K123" s="177"/>
      <c r="L123" s="177"/>
      <c r="M123" s="177"/>
    </row>
    <row r="124" spans="1:23" ht="30" customHeight="1" x14ac:dyDescent="0.4">
      <c r="B124" s="123"/>
      <c r="C124" s="123"/>
      <c r="D124" s="458" t="s">
        <v>875</v>
      </c>
      <c r="E124" s="124"/>
      <c r="G124" s="124"/>
      <c r="H124" s="124"/>
      <c r="I124" s="458" t="s">
        <v>876</v>
      </c>
      <c r="J124" s="458"/>
      <c r="K124" s="124"/>
      <c r="L124" s="124"/>
      <c r="M124" s="124"/>
      <c r="P124" s="458"/>
      <c r="Q124" s="124"/>
      <c r="R124" s="124"/>
      <c r="S124" s="124"/>
      <c r="T124" s="458"/>
      <c r="U124" s="124"/>
    </row>
    <row r="125" spans="1:23" ht="49.9" customHeight="1" x14ac:dyDescent="0.25">
      <c r="A125" s="123"/>
      <c r="B125" s="851" t="s">
        <v>1058</v>
      </c>
      <c r="C125" s="855"/>
      <c r="D125" s="847" t="s">
        <v>172</v>
      </c>
      <c r="E125" s="847" t="s">
        <v>1044</v>
      </c>
      <c r="F125" s="852"/>
      <c r="G125" s="852"/>
      <c r="H125" s="852"/>
      <c r="I125" s="847" t="s">
        <v>172</v>
      </c>
      <c r="J125" s="847" t="s">
        <v>1044</v>
      </c>
      <c r="K125" s="101"/>
      <c r="L125" s="101"/>
      <c r="M125" s="101"/>
      <c r="N125" s="853"/>
      <c r="O125" s="854"/>
      <c r="P125" s="854"/>
      <c r="Q125" s="854"/>
      <c r="R125" s="854"/>
      <c r="S125" s="854"/>
      <c r="T125" s="854"/>
      <c r="U125" s="854"/>
      <c r="V125" s="854"/>
      <c r="W125" s="854"/>
    </row>
    <row r="126" spans="1:23" ht="49.9" customHeight="1" x14ac:dyDescent="0.25">
      <c r="A126" s="123"/>
      <c r="B126" s="840" t="s">
        <v>1049</v>
      </c>
      <c r="C126" s="849"/>
      <c r="D126" s="157">
        <f>IFERROR((D79*$H$118/1000),"")</f>
        <v>0</v>
      </c>
      <c r="E126" s="157">
        <f>IFERROR((E79*$H$118/1000),"")</f>
        <v>0</v>
      </c>
      <c r="F126" s="850"/>
      <c r="G126" s="850"/>
      <c r="H126" s="850"/>
      <c r="I126" s="157" t="str">
        <f>IFERROR((I79*$H$118/1000),"")</f>
        <v/>
      </c>
      <c r="J126" s="157">
        <f>IFERROR((J79*$H$118/1000),"")</f>
        <v>0</v>
      </c>
      <c r="K126" s="101"/>
      <c r="L126" s="101"/>
      <c r="M126" s="101"/>
      <c r="N126" s="101"/>
      <c r="O126" s="101"/>
      <c r="P126" s="101"/>
      <c r="Q126" s="101"/>
      <c r="R126" s="101"/>
      <c r="S126" s="101"/>
      <c r="T126" s="101"/>
      <c r="U126" s="101"/>
      <c r="V126" s="101"/>
      <c r="W126" s="101"/>
    </row>
    <row r="127" spans="1:23" ht="49.9" customHeight="1" x14ac:dyDescent="0.25">
      <c r="A127" s="123"/>
      <c r="B127" s="840" t="s">
        <v>1050</v>
      </c>
      <c r="C127" s="849"/>
      <c r="D127" s="157">
        <f>IFERROR((D80*$H$119/1000),"")</f>
        <v>0</v>
      </c>
      <c r="E127" s="157">
        <f>IFERROR((E80*$H$119/1000),"")</f>
        <v>0</v>
      </c>
      <c r="F127" s="850"/>
      <c r="G127" s="850"/>
      <c r="H127" s="850"/>
      <c r="I127" s="157" t="str">
        <f>IFERROR((I80*$H$119/1000),"")</f>
        <v/>
      </c>
      <c r="J127" s="157">
        <f>IFERROR((J80*$H$119/1000),"")</f>
        <v>0</v>
      </c>
      <c r="K127" s="101"/>
      <c r="L127" s="101"/>
      <c r="M127" s="101"/>
      <c r="N127" s="101"/>
      <c r="O127" s="101"/>
      <c r="P127" s="101"/>
      <c r="Q127" s="101"/>
      <c r="R127" s="101"/>
      <c r="S127" s="101"/>
      <c r="T127" s="101"/>
      <c r="U127" s="101"/>
      <c r="V127" s="101"/>
      <c r="W127" s="101"/>
    </row>
    <row r="128" spans="1:23" ht="49.9" customHeight="1" x14ac:dyDescent="0.25">
      <c r="A128" s="123"/>
      <c r="B128" s="840" t="s">
        <v>1051</v>
      </c>
      <c r="C128" s="849"/>
      <c r="D128" s="157">
        <f>IFERROR((D81*$H$121/1000),"")</f>
        <v>0</v>
      </c>
      <c r="E128" s="157">
        <f>IFERROR((E81*$H$121/1000),"")</f>
        <v>0</v>
      </c>
      <c r="F128" s="850"/>
      <c r="G128" s="850"/>
      <c r="H128" s="850"/>
      <c r="I128" s="157" t="str">
        <f>IFERROR((I81*$H$121/1000),"")</f>
        <v/>
      </c>
      <c r="J128" s="157">
        <f>IFERROR((J81*$H$121/1000),"")</f>
        <v>0</v>
      </c>
      <c r="K128" s="101"/>
      <c r="L128" s="101"/>
      <c r="M128" s="101"/>
      <c r="N128" s="101"/>
      <c r="O128" s="101"/>
      <c r="P128" s="101"/>
      <c r="Q128" s="101"/>
      <c r="R128" s="101"/>
      <c r="S128" s="101"/>
      <c r="T128" s="101"/>
      <c r="U128" s="101"/>
      <c r="V128" s="101"/>
      <c r="W128" s="101"/>
    </row>
    <row r="129" spans="1:31" ht="49.9" customHeight="1" x14ac:dyDescent="0.25">
      <c r="A129" s="123"/>
      <c r="B129" s="840" t="s">
        <v>261</v>
      </c>
      <c r="C129" s="150"/>
      <c r="D129" s="157">
        <f>IFERROR((D82*$J$110/1000),"")</f>
        <v>0</v>
      </c>
      <c r="E129" s="157">
        <f>IFERROR((E82*$J$110/1000),"")</f>
        <v>0</v>
      </c>
      <c r="F129" s="832"/>
      <c r="G129" s="832"/>
      <c r="H129" s="832"/>
      <c r="I129" s="157" t="str">
        <f>IFERROR((I82*$J$110/1000),"")</f>
        <v/>
      </c>
      <c r="J129" s="157">
        <f>IFERROR((J82*$J$110/1000),"")</f>
        <v>0</v>
      </c>
      <c r="K129" s="157"/>
      <c r="L129" s="157"/>
      <c r="M129" s="157"/>
      <c r="N129" s="157"/>
      <c r="O129" s="157"/>
      <c r="P129" s="157"/>
      <c r="Q129" s="157"/>
      <c r="R129" s="157"/>
      <c r="S129" s="726"/>
      <c r="T129" s="726"/>
      <c r="U129" s="726"/>
      <c r="V129" s="726"/>
      <c r="W129" s="726"/>
    </row>
    <row r="130" spans="1:31" ht="49.9" customHeight="1" x14ac:dyDescent="0.25">
      <c r="A130" s="158"/>
      <c r="B130" s="840" t="s">
        <v>205</v>
      </c>
      <c r="C130" s="150"/>
      <c r="D130" s="157">
        <f>IFERROR((D83*$H$114/1000),"")</f>
        <v>0</v>
      </c>
      <c r="E130" s="157">
        <f>IFERROR((E83*$H$114/1000),"")</f>
        <v>0</v>
      </c>
      <c r="F130" s="832"/>
      <c r="G130" s="832"/>
      <c r="H130" s="832"/>
      <c r="I130" s="157" t="str">
        <f>IFERROR((I83*$H$114/1000),"")</f>
        <v/>
      </c>
      <c r="J130" s="157">
        <f>IFERROR((J83*$H$114/1000),"")</f>
        <v>0</v>
      </c>
      <c r="K130" s="157"/>
      <c r="L130" s="157"/>
      <c r="M130" s="157"/>
      <c r="N130" s="157"/>
      <c r="O130" s="157"/>
      <c r="P130" s="157"/>
      <c r="Q130" s="157"/>
      <c r="R130" s="157"/>
      <c r="S130" s="726"/>
      <c r="T130" s="726"/>
      <c r="U130" s="726"/>
      <c r="V130" s="726"/>
      <c r="W130" s="726"/>
    </row>
    <row r="131" spans="1:31" ht="49.9" customHeight="1" x14ac:dyDescent="0.25">
      <c r="A131" s="123"/>
      <c r="B131" s="840" t="s">
        <v>154</v>
      </c>
      <c r="C131" s="150"/>
      <c r="D131" s="157">
        <f>IFERROR((D84*$H$116/1000),"")</f>
        <v>0</v>
      </c>
      <c r="E131" s="157">
        <f>IFERROR((E84*$H$116/1000),"")</f>
        <v>0</v>
      </c>
      <c r="F131" s="832"/>
      <c r="G131" s="832"/>
      <c r="H131" s="832"/>
      <c r="I131" s="157" t="str">
        <f>IFERROR((I84*$H$116/1000),"")</f>
        <v/>
      </c>
      <c r="J131" s="157">
        <f>IFERROR((J84*$H$116/1000),"")</f>
        <v>0</v>
      </c>
      <c r="K131" s="157"/>
      <c r="L131" s="157"/>
      <c r="M131" s="157"/>
      <c r="N131" s="157"/>
      <c r="O131" s="157"/>
      <c r="P131" s="157"/>
      <c r="Q131" s="157"/>
      <c r="R131" s="157"/>
      <c r="S131" s="726"/>
      <c r="T131" s="726"/>
      <c r="U131" s="726"/>
      <c r="V131" s="726"/>
      <c r="W131" s="726"/>
    </row>
    <row r="132" spans="1:31" ht="40.9" customHeight="1" x14ac:dyDescent="0.25">
      <c r="A132" s="123"/>
      <c r="B132" s="840" t="s">
        <v>307</v>
      </c>
      <c r="C132" s="150"/>
      <c r="D132" s="157">
        <f>IFERROR((D85*$H$117/1000),"")</f>
        <v>0</v>
      </c>
      <c r="E132" s="157">
        <f>IFERROR((E85*$H$117/1000),"")</f>
        <v>0</v>
      </c>
      <c r="F132" s="832"/>
      <c r="G132" s="832"/>
      <c r="H132" s="832"/>
      <c r="I132" s="157" t="str">
        <f>IFERROR((I85*$H$117/1000),"")</f>
        <v/>
      </c>
      <c r="J132" s="157">
        <f>IFERROR((J85*$H$117/1000),"")</f>
        <v>0</v>
      </c>
      <c r="K132" s="157"/>
      <c r="L132" s="157"/>
      <c r="M132" s="157"/>
      <c r="N132" s="157"/>
      <c r="O132" s="157"/>
      <c r="P132" s="157"/>
      <c r="Q132" s="157"/>
      <c r="R132" s="157"/>
      <c r="S132" s="726"/>
      <c r="T132" s="726"/>
      <c r="U132" s="726"/>
      <c r="V132" s="726"/>
      <c r="W132" s="726"/>
    </row>
    <row r="133" spans="1:31" ht="49.9" customHeight="1" x14ac:dyDescent="0.25">
      <c r="B133" s="250" t="s">
        <v>5</v>
      </c>
      <c r="C133" s="173"/>
      <c r="D133" s="174">
        <f>SUM(D126:D132)</f>
        <v>0</v>
      </c>
      <c r="E133" s="174">
        <f>SUM(E126:E132)</f>
        <v>0</v>
      </c>
      <c r="F133" s="833"/>
      <c r="G133" s="833"/>
      <c r="H133" s="833"/>
      <c r="I133" s="174">
        <f>SUM(I126:I132)</f>
        <v>0</v>
      </c>
      <c r="J133" s="174">
        <f>SUM(J126:J132)</f>
        <v>0</v>
      </c>
      <c r="K133" s="189"/>
      <c r="L133" s="189"/>
      <c r="M133" s="189"/>
      <c r="N133" s="189"/>
      <c r="O133" s="189"/>
      <c r="P133" s="189"/>
      <c r="Q133" s="189"/>
      <c r="R133" s="189"/>
      <c r="S133" s="189"/>
      <c r="T133" s="189"/>
      <c r="U133" s="189"/>
      <c r="V133" s="189"/>
      <c r="W133" s="189"/>
    </row>
    <row r="134" spans="1:31" ht="30" customHeight="1" x14ac:dyDescent="0.25">
      <c r="B134" s="3"/>
      <c r="C134" s="3"/>
      <c r="D134" s="189"/>
      <c r="E134" s="189"/>
      <c r="F134" s="268" t="s">
        <v>877</v>
      </c>
      <c r="G134" s="269">
        <f>SUM(D133:E133)</f>
        <v>0</v>
      </c>
      <c r="H134" s="124"/>
      <c r="I134" s="268" t="s">
        <v>878</v>
      </c>
      <c r="J134" s="834">
        <f>SUM(I133:J133)</f>
        <v>0</v>
      </c>
      <c r="K134" s="361"/>
      <c r="N134" s="189"/>
      <c r="O134" s="189"/>
      <c r="P134" s="360"/>
      <c r="Q134" s="727"/>
      <c r="R134" s="124"/>
      <c r="S134" s="189"/>
      <c r="T134" s="189"/>
      <c r="U134" s="189"/>
      <c r="V134" s="360"/>
      <c r="W134" s="728"/>
    </row>
    <row r="135" spans="1:31" ht="25.15" customHeight="1" x14ac:dyDescent="0.25"/>
    <row r="137" spans="1:31" s="1" customFormat="1" ht="23.25" x14ac:dyDescent="0.25">
      <c r="A137"/>
      <c r="B137" s="193" t="s">
        <v>1179</v>
      </c>
      <c r="C137" s="725">
        <f>G134+J134</f>
        <v>0</v>
      </c>
      <c r="D137" s="191"/>
      <c r="E137" s="193"/>
      <c r="F137" s="191"/>
      <c r="G137" s="191"/>
      <c r="H137" s="192"/>
      <c r="I137" s="191"/>
      <c r="J137" s="191"/>
      <c r="K137" s="191"/>
      <c r="L137" s="191"/>
      <c r="M137" s="191"/>
      <c r="P137"/>
      <c r="Q137"/>
      <c r="R137"/>
      <c r="S137"/>
      <c r="T137"/>
      <c r="U137"/>
      <c r="V137"/>
      <c r="W137"/>
      <c r="X137"/>
      <c r="Y137"/>
      <c r="Z137"/>
      <c r="AA137"/>
      <c r="AB137"/>
      <c r="AC137"/>
      <c r="AD137"/>
      <c r="AE137"/>
    </row>
    <row r="139" spans="1:31" s="1" customFormat="1" ht="46.5" x14ac:dyDescent="0.25">
      <c r="A139"/>
      <c r="B139" s="193" t="s">
        <v>1180</v>
      </c>
      <c r="C139" s="517">
        <f>C137+C101</f>
        <v>0</v>
      </c>
      <c r="P139"/>
      <c r="Q139"/>
      <c r="R139"/>
      <c r="S139"/>
      <c r="T139"/>
      <c r="U139"/>
      <c r="V139"/>
      <c r="W139"/>
      <c r="X139"/>
      <c r="Y139"/>
      <c r="Z139"/>
      <c r="AA139"/>
      <c r="AB139"/>
      <c r="AC139"/>
      <c r="AD139"/>
      <c r="AE139"/>
    </row>
    <row r="142" spans="1:31" s="1" customFormat="1" ht="23.25" x14ac:dyDescent="0.35">
      <c r="A142"/>
      <c r="B142" s="729"/>
      <c r="C142"/>
      <c r="P142"/>
      <c r="Q142"/>
      <c r="R142"/>
      <c r="S142"/>
      <c r="T142"/>
      <c r="U142"/>
      <c r="V142"/>
      <c r="W142"/>
      <c r="X142"/>
      <c r="Y142"/>
      <c r="Z142"/>
      <c r="AA142"/>
      <c r="AB142"/>
      <c r="AC142"/>
      <c r="AD142"/>
      <c r="AE142"/>
    </row>
    <row r="146" spans="1:31" s="1" customFormat="1" ht="49.9" customHeight="1" x14ac:dyDescent="0.25">
      <c r="A146"/>
      <c r="B146" s="533"/>
      <c r="C146" s="533"/>
      <c r="D146" s="533"/>
      <c r="E146" s="533"/>
      <c r="G146" s="1517"/>
      <c r="H146" s="1517"/>
      <c r="I146" s="1517"/>
      <c r="J146" s="1517"/>
      <c r="P146"/>
      <c r="Q146"/>
      <c r="R146"/>
      <c r="S146"/>
      <c r="T146"/>
      <c r="U146"/>
      <c r="V146"/>
      <c r="W146"/>
      <c r="X146"/>
      <c r="Y146"/>
      <c r="Z146"/>
      <c r="AA146"/>
      <c r="AB146"/>
      <c r="AC146"/>
      <c r="AD146"/>
      <c r="AE146"/>
    </row>
    <row r="147" spans="1:31" s="1" customFormat="1" ht="49.9" customHeight="1" x14ac:dyDescent="0.25">
      <c r="A147"/>
      <c r="B147" s="223"/>
      <c r="C147" s="211"/>
      <c r="D147" s="211"/>
      <c r="E147" s="211"/>
      <c r="G147" s="1256"/>
      <c r="H147" s="211"/>
      <c r="I147" s="211"/>
      <c r="J147" s="211"/>
      <c r="P147"/>
      <c r="Q147"/>
      <c r="R147"/>
      <c r="S147"/>
      <c r="T147"/>
      <c r="U147"/>
      <c r="V147"/>
      <c r="W147"/>
      <c r="X147"/>
      <c r="Y147"/>
      <c r="Z147"/>
      <c r="AA147"/>
      <c r="AB147"/>
      <c r="AC147"/>
      <c r="AD147"/>
      <c r="AE147"/>
    </row>
    <row r="148" spans="1:31" s="1" customFormat="1" ht="49.9" customHeight="1" x14ac:dyDescent="0.25">
      <c r="A148"/>
      <c r="B148" s="291"/>
      <c r="C148" s="394"/>
      <c r="D148" s="503"/>
      <c r="E148" s="503"/>
      <c r="G148" s="856"/>
      <c r="H148" s="857"/>
      <c r="I148" s="67"/>
      <c r="J148" s="764"/>
      <c r="P148"/>
      <c r="Q148"/>
      <c r="R148"/>
      <c r="S148"/>
      <c r="T148"/>
      <c r="U148"/>
      <c r="V148"/>
      <c r="W148"/>
      <c r="X148"/>
      <c r="Y148"/>
      <c r="Z148"/>
      <c r="AA148"/>
      <c r="AB148"/>
      <c r="AC148"/>
      <c r="AD148"/>
      <c r="AE148"/>
    </row>
    <row r="149" spans="1:31" s="1" customFormat="1" ht="49.9" customHeight="1" x14ac:dyDescent="0.25">
      <c r="A149"/>
      <c r="B149" s="291"/>
      <c r="C149" s="394"/>
      <c r="D149" s="503"/>
      <c r="E149" s="503"/>
      <c r="G149" s="596"/>
      <c r="H149" s="812"/>
      <c r="I149" s="731"/>
      <c r="J149" s="731"/>
      <c r="P149"/>
      <c r="Q149"/>
      <c r="R149"/>
      <c r="S149"/>
      <c r="T149"/>
      <c r="U149"/>
      <c r="V149"/>
      <c r="W149"/>
      <c r="X149"/>
      <c r="Y149"/>
      <c r="Z149"/>
      <c r="AA149"/>
      <c r="AB149"/>
      <c r="AC149"/>
      <c r="AD149"/>
      <c r="AE149"/>
    </row>
    <row r="150" spans="1:31" s="1" customFormat="1" ht="49.9" customHeight="1" x14ac:dyDescent="0.25">
      <c r="A150"/>
      <c r="B150" s="291"/>
      <c r="C150" s="394"/>
      <c r="D150" s="650"/>
      <c r="E150" s="650"/>
      <c r="G150" s="596"/>
      <c r="H150" s="812"/>
      <c r="I150" s="734"/>
      <c r="J150" s="734"/>
      <c r="P150"/>
      <c r="Q150"/>
      <c r="R150"/>
      <c r="S150"/>
      <c r="T150"/>
      <c r="U150"/>
      <c r="V150"/>
      <c r="W150"/>
      <c r="X150"/>
      <c r="Y150"/>
      <c r="Z150"/>
      <c r="AA150"/>
      <c r="AB150"/>
      <c r="AC150"/>
      <c r="AD150"/>
      <c r="AE150"/>
    </row>
    <row r="151" spans="1:31" s="1" customFormat="1" ht="49.9" customHeight="1" x14ac:dyDescent="0.25">
      <c r="A151"/>
      <c r="B151" s="291"/>
      <c r="C151" s="394"/>
      <c r="D151" s="503"/>
      <c r="E151" s="730"/>
      <c r="G151" s="596"/>
      <c r="H151" s="812"/>
      <c r="I151" s="734"/>
      <c r="J151" s="734"/>
      <c r="P151"/>
      <c r="Q151"/>
      <c r="R151"/>
      <c r="S151"/>
      <c r="T151"/>
      <c r="U151"/>
      <c r="V151"/>
      <c r="W151"/>
      <c r="X151"/>
      <c r="Y151"/>
      <c r="Z151"/>
      <c r="AA151"/>
      <c r="AB151"/>
      <c r="AC151"/>
      <c r="AD151"/>
      <c r="AE151"/>
    </row>
    <row r="152" spans="1:31" s="1" customFormat="1" ht="49.9" customHeight="1" x14ac:dyDescent="0.25">
      <c r="A152"/>
      <c r="B152" s="291"/>
      <c r="C152" s="394"/>
      <c r="D152" s="503"/>
      <c r="E152" s="730"/>
      <c r="G152" s="856"/>
      <c r="H152" s="857"/>
      <c r="I152" s="67"/>
      <c r="J152" s="764"/>
      <c r="P152"/>
      <c r="Q152"/>
      <c r="R152"/>
      <c r="S152"/>
      <c r="T152"/>
      <c r="U152"/>
      <c r="V152"/>
      <c r="W152"/>
      <c r="X152"/>
      <c r="Y152"/>
      <c r="Z152"/>
      <c r="AA152"/>
      <c r="AB152"/>
      <c r="AC152"/>
      <c r="AD152"/>
      <c r="AE152"/>
    </row>
    <row r="153" spans="1:31" s="1" customFormat="1" ht="49.9" customHeight="1" x14ac:dyDescent="0.25">
      <c r="A153"/>
      <c r="B153" s="291"/>
      <c r="C153" s="307"/>
      <c r="D153" s="653"/>
      <c r="E153" s="653"/>
      <c r="G153" s="596"/>
      <c r="H153" s="394"/>
      <c r="I153" s="731"/>
      <c r="J153" s="731"/>
      <c r="P153"/>
      <c r="Q153"/>
      <c r="R153"/>
      <c r="S153"/>
      <c r="T153"/>
      <c r="U153"/>
      <c r="V153"/>
      <c r="W153"/>
      <c r="X153"/>
      <c r="Y153"/>
      <c r="Z153"/>
      <c r="AA153"/>
      <c r="AB153"/>
      <c r="AC153"/>
      <c r="AD153"/>
      <c r="AE153"/>
    </row>
    <row r="154" spans="1:31" s="1" customFormat="1" ht="49.9" customHeight="1" x14ac:dyDescent="0.25">
      <c r="A154"/>
      <c r="B154" s="87"/>
      <c r="C154" s="88"/>
      <c r="D154" s="88"/>
      <c r="E154" s="88"/>
      <c r="G154" s="596"/>
      <c r="H154" s="394"/>
      <c r="I154" s="730"/>
      <c r="J154" s="730"/>
      <c r="P154"/>
      <c r="Q154"/>
      <c r="R154"/>
      <c r="S154"/>
      <c r="T154"/>
      <c r="U154"/>
      <c r="V154"/>
      <c r="W154"/>
      <c r="X154"/>
      <c r="Y154"/>
      <c r="Z154"/>
      <c r="AA154"/>
      <c r="AB154"/>
      <c r="AC154"/>
      <c r="AD154"/>
      <c r="AE154"/>
    </row>
    <row r="155" spans="1:31" s="1" customFormat="1" ht="49.9" customHeight="1" x14ac:dyDescent="0.25">
      <c r="A155"/>
      <c r="B155" s="486" t="s">
        <v>778</v>
      </c>
      <c r="C155" s="210"/>
      <c r="D155" s="210"/>
      <c r="E155" s="210"/>
      <c r="G155" s="596"/>
      <c r="H155" s="394"/>
      <c r="I155" s="734"/>
      <c r="J155" s="734"/>
      <c r="P155"/>
      <c r="Q155"/>
      <c r="R155"/>
      <c r="S155"/>
      <c r="T155"/>
      <c r="U155"/>
      <c r="V155"/>
      <c r="W155"/>
      <c r="X155"/>
      <c r="Y155"/>
      <c r="Z155"/>
      <c r="AA155"/>
      <c r="AB155"/>
      <c r="AC155"/>
      <c r="AD155"/>
      <c r="AE155"/>
    </row>
    <row r="156" spans="1:31" s="1" customFormat="1" ht="49.9" customHeight="1" x14ac:dyDescent="0.25">
      <c r="A156"/>
      <c r="B156" s="231" t="s">
        <v>114</v>
      </c>
      <c r="C156" s="228" t="s">
        <v>3</v>
      </c>
      <c r="D156" s="228" t="s">
        <v>756</v>
      </c>
      <c r="E156" s="228" t="s">
        <v>757</v>
      </c>
      <c r="G156" s="856"/>
      <c r="H156" s="857"/>
      <c r="I156" s="67"/>
      <c r="J156" s="764"/>
      <c r="P156"/>
      <c r="Q156"/>
      <c r="R156"/>
      <c r="S156"/>
      <c r="T156"/>
      <c r="U156"/>
      <c r="V156"/>
      <c r="W156"/>
      <c r="X156"/>
      <c r="Y156"/>
      <c r="Z156"/>
      <c r="AA156"/>
      <c r="AB156"/>
      <c r="AC156"/>
      <c r="AD156"/>
      <c r="AE156"/>
    </row>
    <row r="157" spans="1:31" s="1" customFormat="1" ht="49.9" customHeight="1" x14ac:dyDescent="0.25">
      <c r="A157"/>
      <c r="B157" s="311" t="s">
        <v>488</v>
      </c>
      <c r="C157" s="312" t="s">
        <v>353</v>
      </c>
      <c r="D157" s="520">
        <f>D158-D159</f>
        <v>0</v>
      </c>
      <c r="E157" s="521">
        <f>E158-E159</f>
        <v>0</v>
      </c>
      <c r="G157" s="596"/>
      <c r="H157" s="394"/>
      <c r="I157" s="731"/>
      <c r="J157" s="731"/>
      <c r="P157"/>
      <c r="Q157"/>
      <c r="R157"/>
      <c r="S157"/>
      <c r="T157"/>
      <c r="U157"/>
      <c r="V157"/>
      <c r="W157"/>
      <c r="X157"/>
      <c r="Y157"/>
      <c r="Z157"/>
      <c r="AA157"/>
      <c r="AB157"/>
      <c r="AC157"/>
      <c r="AD157"/>
      <c r="AE157"/>
    </row>
    <row r="158" spans="1:31" s="1" customFormat="1" ht="49.9" customHeight="1" x14ac:dyDescent="0.25">
      <c r="A158"/>
      <c r="B158" s="313" t="s">
        <v>354</v>
      </c>
      <c r="C158" s="314" t="s">
        <v>353</v>
      </c>
      <c r="D158" s="315">
        <f>C101</f>
        <v>0</v>
      </c>
      <c r="E158" s="324">
        <f>C139</f>
        <v>0</v>
      </c>
      <c r="G158" s="596"/>
      <c r="H158" s="394"/>
      <c r="I158" s="730"/>
      <c r="J158" s="730"/>
      <c r="P158"/>
      <c r="Q158"/>
      <c r="R158"/>
      <c r="S158"/>
      <c r="T158"/>
      <c r="U158"/>
      <c r="V158"/>
      <c r="W158"/>
      <c r="X158"/>
      <c r="Y158"/>
      <c r="Z158"/>
      <c r="AA158"/>
      <c r="AB158"/>
      <c r="AC158"/>
      <c r="AD158"/>
      <c r="AE158"/>
    </row>
    <row r="159" spans="1:31" s="1" customFormat="1" ht="49.9" customHeight="1" x14ac:dyDescent="0.25">
      <c r="A159"/>
      <c r="B159" s="316" t="s">
        <v>355</v>
      </c>
      <c r="C159" s="317" t="s">
        <v>353</v>
      </c>
      <c r="D159" s="318">
        <f>K21</f>
        <v>0</v>
      </c>
      <c r="E159" s="319">
        <f>N21</f>
        <v>0</v>
      </c>
      <c r="G159" s="596"/>
      <c r="H159" s="394"/>
      <c r="I159" s="734"/>
      <c r="J159" s="734"/>
      <c r="P159"/>
      <c r="Q159"/>
      <c r="R159"/>
      <c r="S159"/>
      <c r="T159"/>
      <c r="U159"/>
      <c r="V159"/>
      <c r="W159"/>
      <c r="X159"/>
      <c r="Y159"/>
      <c r="Z159"/>
      <c r="AA159"/>
      <c r="AB159"/>
      <c r="AC159"/>
      <c r="AD159"/>
      <c r="AE159"/>
    </row>
    <row r="160" spans="1:31" s="1" customFormat="1" ht="49.9" customHeight="1" x14ac:dyDescent="0.25">
      <c r="A160"/>
      <c r="B160" s="320" t="s">
        <v>466</v>
      </c>
      <c r="C160" s="323" t="s">
        <v>357</v>
      </c>
      <c r="D160" s="448" t="e">
        <f>D157*$Y$13</f>
        <v>#N/A</v>
      </c>
      <c r="E160" s="1259" t="e">
        <f>E157*$Y$13</f>
        <v>#N/A</v>
      </c>
      <c r="G160" s="596"/>
      <c r="H160" s="394"/>
      <c r="I160" s="730"/>
      <c r="J160" s="730"/>
      <c r="P160"/>
      <c r="Q160"/>
      <c r="R160"/>
      <c r="S160"/>
      <c r="T160"/>
      <c r="U160"/>
      <c r="V160"/>
      <c r="W160"/>
      <c r="X160"/>
      <c r="Y160"/>
      <c r="Z160"/>
      <c r="AA160"/>
      <c r="AB160"/>
      <c r="AC160"/>
      <c r="AD160"/>
      <c r="AE160"/>
    </row>
    <row r="161" spans="1:31" s="1" customFormat="1" ht="49.9" customHeight="1" x14ac:dyDescent="0.25">
      <c r="A161"/>
      <c r="B161" s="87"/>
      <c r="C161" s="88"/>
      <c r="D161" s="244"/>
      <c r="E161" s="88"/>
      <c r="G161" s="596"/>
      <c r="H161" s="394"/>
      <c r="I161" s="734"/>
      <c r="J161" s="734"/>
      <c r="P161"/>
      <c r="Q161"/>
      <c r="R161"/>
      <c r="S161"/>
      <c r="T161"/>
      <c r="U161"/>
      <c r="V161"/>
      <c r="W161"/>
      <c r="X161"/>
      <c r="Y161"/>
      <c r="Z161"/>
      <c r="AA161"/>
      <c r="AB161"/>
      <c r="AC161"/>
      <c r="AD161"/>
      <c r="AE161"/>
    </row>
    <row r="162" spans="1:31" s="1" customFormat="1" ht="49.9" customHeight="1" x14ac:dyDescent="0.25">
      <c r="A162"/>
      <c r="B162" s="533"/>
      <c r="C162" s="533"/>
      <c r="D162" s="533"/>
      <c r="E162" s="533"/>
      <c r="G162" s="856"/>
      <c r="H162" s="857"/>
      <c r="I162" s="67"/>
      <c r="J162" s="764"/>
      <c r="P162"/>
      <c r="Q162"/>
      <c r="R162"/>
      <c r="S162"/>
      <c r="T162"/>
      <c r="U162"/>
      <c r="V162"/>
      <c r="W162"/>
      <c r="X162"/>
      <c r="Y162"/>
      <c r="Z162"/>
      <c r="AA162"/>
      <c r="AB162"/>
      <c r="AC162"/>
      <c r="AD162"/>
      <c r="AE162"/>
    </row>
    <row r="163" spans="1:31" s="1" customFormat="1" ht="49.9" customHeight="1" x14ac:dyDescent="0.25">
      <c r="A163"/>
      <c r="B163" s="223"/>
      <c r="C163" s="211"/>
      <c r="D163" s="211"/>
      <c r="E163" s="211"/>
      <c r="G163" s="596"/>
      <c r="H163" s="89"/>
      <c r="I163" s="731"/>
      <c r="J163" s="731"/>
      <c r="P163"/>
      <c r="Q163"/>
      <c r="R163"/>
      <c r="S163"/>
      <c r="T163"/>
      <c r="U163"/>
      <c r="V163"/>
      <c r="W163"/>
      <c r="X163"/>
      <c r="Y163"/>
      <c r="Z163"/>
      <c r="AA163"/>
      <c r="AB163"/>
      <c r="AC163"/>
      <c r="AD163"/>
      <c r="AE163"/>
    </row>
    <row r="164" spans="1:31" s="1" customFormat="1" ht="49.9" customHeight="1" x14ac:dyDescent="0.25">
      <c r="A164"/>
      <c r="B164" s="291"/>
      <c r="C164" s="394"/>
      <c r="D164" s="731"/>
      <c r="E164" s="732"/>
      <c r="G164" s="596"/>
      <c r="H164" s="89"/>
      <c r="I164" s="1257"/>
      <c r="J164" s="1257"/>
      <c r="P164"/>
      <c r="Q164"/>
      <c r="R164"/>
      <c r="S164"/>
      <c r="T164"/>
      <c r="U164"/>
      <c r="V164"/>
      <c r="W164"/>
      <c r="X164"/>
      <c r="Y164"/>
      <c r="Z164"/>
      <c r="AA164"/>
      <c r="AB164"/>
      <c r="AC164"/>
      <c r="AD164"/>
      <c r="AE164"/>
    </row>
    <row r="165" spans="1:31" s="1" customFormat="1" ht="49.9" customHeight="1" x14ac:dyDescent="0.25">
      <c r="A165"/>
      <c r="B165" s="291"/>
      <c r="C165" s="394"/>
      <c r="D165" s="730"/>
      <c r="E165" s="733"/>
      <c r="G165" s="596"/>
      <c r="H165" s="89"/>
      <c r="I165" s="1258"/>
      <c r="J165" s="1258"/>
      <c r="P165"/>
      <c r="Q165"/>
      <c r="R165"/>
      <c r="S165"/>
      <c r="T165"/>
      <c r="U165"/>
      <c r="V165"/>
      <c r="W165"/>
      <c r="X165"/>
      <c r="Y165"/>
      <c r="Z165"/>
      <c r="AA165"/>
      <c r="AB165"/>
      <c r="AC165"/>
      <c r="AD165"/>
      <c r="AE165"/>
    </row>
    <row r="166" spans="1:31" s="1" customFormat="1" ht="49.9" customHeight="1" x14ac:dyDescent="0.25">
      <c r="A166"/>
      <c r="B166" s="291"/>
      <c r="C166" s="394"/>
      <c r="D166" s="734"/>
      <c r="E166" s="735"/>
      <c r="P166"/>
      <c r="Q166"/>
      <c r="R166"/>
      <c r="S166"/>
      <c r="T166"/>
      <c r="U166"/>
      <c r="V166"/>
      <c r="W166"/>
      <c r="X166"/>
      <c r="Y166"/>
      <c r="Z166"/>
      <c r="AA166"/>
      <c r="AB166"/>
      <c r="AC166"/>
      <c r="AD166"/>
      <c r="AE166"/>
    </row>
    <row r="167" spans="1:31" s="1" customFormat="1" ht="49.9" customHeight="1" x14ac:dyDescent="0.25">
      <c r="A167"/>
      <c r="B167" s="291"/>
      <c r="C167" s="394"/>
      <c r="D167" s="503"/>
      <c r="E167" s="730"/>
      <c r="P167"/>
      <c r="Q167"/>
      <c r="R167"/>
      <c r="S167"/>
      <c r="T167"/>
      <c r="U167"/>
      <c r="V167"/>
      <c r="W167"/>
      <c r="X167"/>
      <c r="Y167"/>
      <c r="Z167"/>
      <c r="AA167"/>
      <c r="AB167"/>
      <c r="AC167"/>
      <c r="AD167"/>
      <c r="AE167"/>
    </row>
    <row r="168" spans="1:31" s="1" customFormat="1" ht="49.9" customHeight="1" x14ac:dyDescent="0.25">
      <c r="A168"/>
      <c r="B168" s="291"/>
      <c r="C168" s="394"/>
      <c r="D168" s="730"/>
      <c r="E168" s="730"/>
      <c r="F168" s="485"/>
      <c r="P168"/>
      <c r="Q168"/>
      <c r="R168"/>
      <c r="S168"/>
      <c r="T168"/>
      <c r="U168"/>
      <c r="V168"/>
      <c r="W168"/>
      <c r="X168"/>
      <c r="Y168"/>
      <c r="Z168"/>
      <c r="AA168"/>
      <c r="AB168"/>
      <c r="AC168"/>
      <c r="AD168"/>
      <c r="AE168"/>
    </row>
    <row r="169" spans="1:31" s="1" customFormat="1" ht="49.9" customHeight="1" x14ac:dyDescent="0.25">
      <c r="A169"/>
      <c r="B169" s="291"/>
      <c r="C169" s="307"/>
      <c r="D169" s="653"/>
      <c r="E169" s="653"/>
      <c r="P169"/>
      <c r="Q169"/>
      <c r="R169"/>
      <c r="S169"/>
      <c r="T169"/>
      <c r="U169"/>
      <c r="V169"/>
      <c r="W169"/>
      <c r="X169"/>
      <c r="Y169"/>
      <c r="Z169"/>
      <c r="AA169"/>
      <c r="AB169"/>
      <c r="AC169"/>
      <c r="AD169"/>
      <c r="AE169"/>
    </row>
  </sheetData>
  <mergeCells count="2">
    <mergeCell ref="Z8:AD8"/>
    <mergeCell ref="G146:J146"/>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 id="{F7A35DED-CD23-46F4-BBB4-F77AEF8C1C40}">
            <xm:f>IF($E$49=FAListas!$C$6,TRUE, IF($E$49=FAListas!#REF!, TRUE,""))</xm:f>
            <x14:dxf>
              <fill>
                <patternFill>
                  <bgColor theme="1"/>
                </patternFill>
              </fill>
            </x14:dxf>
          </x14:cfRule>
          <xm:sqref>D148:E148 I149:J149 I153:J153 D157:E157 I157:J157 I163:J163 D164:E164</xm:sqref>
        </x14:conditionalFormatting>
        <x14:conditionalFormatting xmlns:xm="http://schemas.microsoft.com/office/excel/2006/main">
          <x14:cfRule type="expression" priority="3" id="{29AAB063-E902-4AAA-8D33-0BE4304A5026}">
            <xm:f>IF(#REF!=FAListas!$C$6,TRUE, IF(#REF!=FAListas!#REF!, TRUE,""))</xm:f>
            <x14:dxf>
              <fill>
                <patternFill>
                  <bgColor theme="1"/>
                </patternFill>
              </fill>
            </x14:dxf>
          </x14:cfRule>
          <xm:sqref>D149:E153</xm:sqref>
        </x14:conditionalFormatting>
        <x14:conditionalFormatting xmlns:xm="http://schemas.microsoft.com/office/excel/2006/main">
          <x14:cfRule type="expression" priority="4" id="{B07110B9-038E-4C72-BD6C-3ED98F3B0DF5}">
            <xm:f>#REF!=FAListas!#REF!</xm:f>
            <x14:dxf>
              <fill>
                <patternFill>
                  <bgColor theme="1"/>
                </patternFill>
              </fill>
            </x14:dxf>
          </x14:cfRule>
          <xm:sqref>D158:E160 D167:E169</xm:sqref>
        </x14:conditionalFormatting>
        <x14:conditionalFormatting xmlns:xm="http://schemas.microsoft.com/office/excel/2006/main">
          <x14:cfRule type="expression" priority="1" id="{1EE74500-2491-48FF-A7F8-D55B33FCD9D8}">
            <xm:f>#REF!=FAListas!$C$6</xm:f>
            <x14:dxf>
              <fill>
                <patternFill>
                  <bgColor theme="1"/>
                </patternFill>
              </fill>
            </x14:dxf>
          </x14:cfRule>
          <xm:sqref>D165:E166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71A15-05C1-4B5F-9CE9-1D3ACCE102FB}">
  <sheetPr codeName="Sheet18">
    <tabColor rgb="FFA9D08E"/>
  </sheetPr>
  <dimension ref="A2:AP61"/>
  <sheetViews>
    <sheetView showGridLines="0" zoomScale="55" zoomScaleNormal="55" workbookViewId="0"/>
  </sheetViews>
  <sheetFormatPr defaultRowHeight="30" customHeight="1" x14ac:dyDescent="0.25"/>
  <cols>
    <col min="1" max="1" width="3.7109375" customWidth="1"/>
    <col min="2" max="2" width="3.28515625" customWidth="1"/>
    <col min="3" max="3" width="51.5703125" customWidth="1"/>
    <col min="4" max="4" width="24.28515625" customWidth="1"/>
    <col min="5" max="12" width="25.7109375" customWidth="1"/>
    <col min="13" max="14" width="30.7109375" customWidth="1"/>
    <col min="15" max="15" width="3.7109375" customWidth="1"/>
    <col min="16" max="16" width="33.7109375" customWidth="1"/>
    <col min="35" max="35" width="13.28515625" style="645" customWidth="1"/>
    <col min="36" max="36" width="13.7109375" style="645" bestFit="1" customWidth="1"/>
  </cols>
  <sheetData>
    <row r="2" spans="1:42" s="461" customFormat="1" ht="70.150000000000006" customHeight="1" x14ac:dyDescent="0.25">
      <c r="A2" s="297"/>
      <c r="B2" s="460"/>
      <c r="C2" s="480" t="s">
        <v>480</v>
      </c>
      <c r="D2" s="460"/>
      <c r="E2" s="460"/>
      <c r="F2" s="460"/>
      <c r="G2" s="460"/>
      <c r="H2" s="460"/>
      <c r="I2" s="460"/>
      <c r="J2" s="460"/>
      <c r="K2" s="460"/>
      <c r="L2" s="460"/>
      <c r="M2" s="460"/>
      <c r="N2" s="460"/>
      <c r="O2" s="460"/>
      <c r="P2" s="460"/>
      <c r="Q2" s="460"/>
      <c r="R2" s="460"/>
      <c r="S2" s="460"/>
      <c r="T2" s="460"/>
      <c r="U2" s="460"/>
      <c r="V2" s="460"/>
      <c r="W2" s="460"/>
      <c r="X2" s="460"/>
      <c r="AI2" s="1017"/>
      <c r="AJ2" s="1017"/>
    </row>
    <row r="4" spans="1:42" ht="30" customHeight="1" x14ac:dyDescent="0.25">
      <c r="B4" s="1583" t="s">
        <v>799</v>
      </c>
      <c r="C4" s="1583"/>
      <c r="D4" s="1583"/>
      <c r="E4" s="1583"/>
      <c r="F4" s="1583"/>
      <c r="G4" s="1583"/>
      <c r="H4" s="1583"/>
      <c r="I4" s="1583"/>
      <c r="J4" s="1583"/>
    </row>
    <row r="5" spans="1:42" ht="70.150000000000006" customHeight="1" x14ac:dyDescent="0.25">
      <c r="B5" s="1355" t="s">
        <v>800</v>
      </c>
      <c r="C5" s="1355"/>
      <c r="D5" s="1404" t="s">
        <v>1124</v>
      </c>
      <c r="E5" s="1404"/>
      <c r="F5" s="1404"/>
      <c r="G5" s="1404"/>
      <c r="H5" s="1404"/>
      <c r="I5" s="1404"/>
      <c r="J5" s="1404"/>
      <c r="AH5" s="1022"/>
      <c r="AK5" s="1022"/>
      <c r="AL5" s="1022"/>
      <c r="AM5" s="1022"/>
      <c r="AN5" s="1022"/>
      <c r="AO5" s="1022"/>
      <c r="AP5" s="1022"/>
    </row>
    <row r="6" spans="1:42" ht="70.150000000000006" customHeight="1" x14ac:dyDescent="0.35">
      <c r="B6" s="1355"/>
      <c r="C6" s="1355"/>
      <c r="D6" s="1586" t="s">
        <v>1146</v>
      </c>
      <c r="E6" s="1586"/>
      <c r="F6" s="1586"/>
      <c r="G6" s="1586"/>
      <c r="H6" s="1586"/>
      <c r="I6" s="1586"/>
      <c r="J6" s="1586"/>
      <c r="N6" s="374"/>
      <c r="O6" s="374"/>
      <c r="P6" s="374"/>
      <c r="AH6" s="1022"/>
      <c r="AK6" s="1022"/>
      <c r="AL6" s="1022"/>
      <c r="AM6" s="1022"/>
      <c r="AN6" s="1022"/>
      <c r="AO6" s="1022"/>
      <c r="AP6" s="1022"/>
    </row>
    <row r="7" spans="1:42" s="43" customFormat="1" ht="43.9" customHeight="1" x14ac:dyDescent="0.25">
      <c r="B7" s="1355" t="s">
        <v>801</v>
      </c>
      <c r="C7" s="1355"/>
      <c r="D7" s="1586" t="s">
        <v>1142</v>
      </c>
      <c r="E7" s="1586"/>
      <c r="F7" s="1586"/>
      <c r="G7" s="1586"/>
      <c r="H7" s="1586"/>
      <c r="I7" s="1586"/>
      <c r="J7" s="1586"/>
      <c r="N7" s="1024"/>
      <c r="O7" s="1024"/>
      <c r="P7" s="683"/>
      <c r="AH7" s="1025"/>
      <c r="AI7" s="1026" t="s">
        <v>1121</v>
      </c>
      <c r="AJ7" s="1027">
        <f>I15</f>
        <v>0</v>
      </c>
      <c r="AK7" s="1025"/>
      <c r="AL7" s="1025"/>
      <c r="AM7" s="1025"/>
      <c r="AN7" s="1025"/>
      <c r="AO7" s="1025"/>
      <c r="AP7" s="1025"/>
    </row>
    <row r="8" spans="1:42" s="43" customFormat="1" ht="25.15" customHeight="1" x14ac:dyDescent="0.25">
      <c r="B8" s="1355"/>
      <c r="C8" s="1355"/>
      <c r="D8" s="1586" t="s">
        <v>1143</v>
      </c>
      <c r="E8" s="1586"/>
      <c r="F8" s="1586"/>
      <c r="G8" s="1586"/>
      <c r="H8" s="1586"/>
      <c r="I8" s="1586"/>
      <c r="J8" s="1586"/>
      <c r="N8" s="1024"/>
      <c r="O8" s="1024"/>
      <c r="P8" s="683" t="s">
        <v>512</v>
      </c>
      <c r="AH8" s="1025"/>
      <c r="AI8" s="1026" t="s">
        <v>1123</v>
      </c>
      <c r="AJ8" s="1027">
        <f>E15</f>
        <v>0</v>
      </c>
      <c r="AK8" s="1025"/>
      <c r="AL8" s="1025"/>
      <c r="AM8" s="1025"/>
      <c r="AN8" s="1025"/>
      <c r="AO8" s="1025"/>
      <c r="AP8" s="1025"/>
    </row>
    <row r="9" spans="1:42" s="43" customFormat="1" ht="39.6" customHeight="1" x14ac:dyDescent="0.25">
      <c r="B9" s="1355"/>
      <c r="C9" s="1355"/>
      <c r="D9" s="1586" t="s">
        <v>1213</v>
      </c>
      <c r="E9" s="1586"/>
      <c r="F9" s="1586"/>
      <c r="G9" s="1586"/>
      <c r="H9" s="1586"/>
      <c r="I9" s="1586"/>
      <c r="J9" s="1586"/>
      <c r="N9" s="1024"/>
      <c r="O9" s="1024"/>
      <c r="P9" s="683"/>
      <c r="AH9" s="1025"/>
      <c r="AI9" s="1026" t="s">
        <v>1122</v>
      </c>
      <c r="AJ9" s="1027">
        <f>G15</f>
        <v>0</v>
      </c>
      <c r="AK9" s="1025"/>
      <c r="AL9" s="1025"/>
      <c r="AM9" s="1025"/>
      <c r="AN9" s="1025"/>
      <c r="AO9" s="1025"/>
      <c r="AP9" s="1025"/>
    </row>
    <row r="10" spans="1:42" ht="16.899999999999999" customHeight="1" x14ac:dyDescent="0.35">
      <c r="C10" s="658"/>
      <c r="D10" s="688"/>
      <c r="E10" s="688"/>
      <c r="F10" s="688"/>
      <c r="G10" s="688"/>
      <c r="H10" s="688"/>
      <c r="I10" s="688"/>
      <c r="J10" s="688"/>
      <c r="N10" s="374"/>
      <c r="O10" s="374"/>
      <c r="P10" s="683"/>
      <c r="AH10" s="1022"/>
      <c r="AK10" s="1022"/>
      <c r="AL10" s="1022"/>
      <c r="AM10" s="1022"/>
      <c r="AN10" s="1022"/>
      <c r="AO10" s="1022"/>
      <c r="AP10" s="1022"/>
    </row>
    <row r="11" spans="1:42" ht="30" customHeight="1" x14ac:dyDescent="0.25">
      <c r="B11" s="1587" t="s">
        <v>802</v>
      </c>
      <c r="C11" s="1588"/>
      <c r="D11" s="1588"/>
      <c r="E11" s="1588"/>
      <c r="F11" s="1588"/>
      <c r="G11" s="1588"/>
      <c r="H11" s="1588"/>
      <c r="I11" s="1588"/>
      <c r="J11" s="1588"/>
      <c r="K11" s="1588"/>
      <c r="L11" s="1588"/>
      <c r="M11" s="1588"/>
      <c r="N11" s="710"/>
      <c r="O11" s="713"/>
      <c r="P11" s="683"/>
      <c r="AH11" s="1022"/>
      <c r="AI11" s="1022"/>
      <c r="AJ11" s="1023"/>
      <c r="AK11" s="1022"/>
      <c r="AL11" s="1022"/>
      <c r="AM11" s="1022"/>
      <c r="AN11" s="1022"/>
      <c r="AO11" s="1022"/>
      <c r="AP11" s="1022"/>
    </row>
    <row r="12" spans="1:42" ht="15" customHeight="1" thickBot="1" x14ac:dyDescent="0.3">
      <c r="B12" s="689"/>
      <c r="C12" s="464"/>
      <c r="D12" s="464"/>
      <c r="E12" s="464"/>
      <c r="F12" s="464"/>
      <c r="G12" s="464"/>
      <c r="H12" s="464"/>
      <c r="I12" s="464"/>
      <c r="J12" s="464"/>
      <c r="K12" s="464"/>
      <c r="L12" s="464"/>
      <c r="M12" s="464"/>
      <c r="N12" s="463"/>
      <c r="O12" s="690"/>
      <c r="P12" s="683"/>
      <c r="AH12" s="1022"/>
      <c r="AI12" s="1022"/>
      <c r="AJ12" s="1022"/>
      <c r="AK12" s="1022"/>
      <c r="AL12" s="1022"/>
      <c r="AM12" s="1022"/>
      <c r="AN12" s="1022"/>
      <c r="AO12" s="1022"/>
      <c r="AP12" s="1022"/>
    </row>
    <row r="13" spans="1:42" ht="79.150000000000006" customHeight="1" thickBot="1" x14ac:dyDescent="0.3">
      <c r="B13" s="691"/>
      <c r="C13" s="711" t="s">
        <v>443</v>
      </c>
      <c r="D13" s="712"/>
      <c r="E13" s="1589" t="s">
        <v>1137</v>
      </c>
      <c r="F13" s="1590"/>
      <c r="G13" s="1591" t="s">
        <v>1138</v>
      </c>
      <c r="H13" s="1592"/>
      <c r="I13" s="1573" t="s">
        <v>1144</v>
      </c>
      <c r="J13" s="1574"/>
      <c r="K13" s="1593" t="s">
        <v>1125</v>
      </c>
      <c r="L13" s="1594"/>
      <c r="M13" s="1595" t="s">
        <v>1305</v>
      </c>
      <c r="N13" s="1596"/>
      <c r="O13" s="692"/>
      <c r="P13" s="683"/>
      <c r="AH13" s="1022"/>
      <c r="AI13" s="1022"/>
      <c r="AJ13" s="1022"/>
      <c r="AK13" s="1022"/>
      <c r="AL13" s="1022"/>
      <c r="AM13" s="1022"/>
      <c r="AN13" s="1022"/>
      <c r="AO13" s="1022"/>
      <c r="AP13" s="1022"/>
    </row>
    <row r="14" spans="1:42" ht="40.15" customHeight="1" thickBot="1" x14ac:dyDescent="0.3">
      <c r="B14" s="691"/>
      <c r="C14" s="715"/>
      <c r="D14" s="716"/>
      <c r="E14" s="1039" t="s">
        <v>756</v>
      </c>
      <c r="F14" s="1039" t="s">
        <v>757</v>
      </c>
      <c r="G14" s="1039" t="s">
        <v>756</v>
      </c>
      <c r="H14" s="1039" t="s">
        <v>757</v>
      </c>
      <c r="I14" s="1039" t="s">
        <v>756</v>
      </c>
      <c r="J14" s="1039" t="s">
        <v>757</v>
      </c>
      <c r="K14" s="1039" t="s">
        <v>756</v>
      </c>
      <c r="L14" s="1039" t="s">
        <v>757</v>
      </c>
      <c r="M14" s="1039" t="s">
        <v>756</v>
      </c>
      <c r="N14" s="1039" t="s">
        <v>757</v>
      </c>
      <c r="O14" s="693"/>
      <c r="P14" s="683"/>
      <c r="AH14" s="1022"/>
      <c r="AI14" s="1022"/>
      <c r="AJ14" s="1022"/>
      <c r="AK14" s="1022"/>
      <c r="AL14" s="1022"/>
      <c r="AM14" s="1022"/>
      <c r="AN14" s="1022"/>
      <c r="AO14" s="1022"/>
      <c r="AP14" s="1022"/>
    </row>
    <row r="15" spans="1:42" ht="62.45" customHeight="1" thickBot="1" x14ac:dyDescent="0.3">
      <c r="B15" s="691"/>
      <c r="C15" s="1584" t="str">
        <f>IFERROR('ID_Identificação do projeto'!C6,"")</f>
        <v>Preencher com o nome do projeto</v>
      </c>
      <c r="D15" s="717" t="s">
        <v>1120</v>
      </c>
      <c r="E15" s="1018">
        <f t="shared" ref="E15:J15" si="0">IFERROR(E27+E45,"")</f>
        <v>0</v>
      </c>
      <c r="F15" s="1018">
        <f t="shared" si="0"/>
        <v>0</v>
      </c>
      <c r="G15" s="1018">
        <f t="shared" si="0"/>
        <v>0</v>
      </c>
      <c r="H15" s="1018">
        <f t="shared" si="0"/>
        <v>0</v>
      </c>
      <c r="I15" s="1018">
        <f t="shared" si="0"/>
        <v>0</v>
      </c>
      <c r="J15" s="1018">
        <f t="shared" si="0"/>
        <v>0</v>
      </c>
      <c r="K15" s="1133" t="str">
        <f>IFERROR((I15/G15)*100,"")</f>
        <v/>
      </c>
      <c r="L15" s="1133" t="str">
        <f>IFERROR((J15/H15)*100,"")</f>
        <v/>
      </c>
      <c r="M15" s="1018" t="str">
        <f>IFERROR(M27+M45,"")</f>
        <v/>
      </c>
      <c r="N15" s="1064" t="str">
        <f>IFERROR(N27+N45,"")</f>
        <v/>
      </c>
      <c r="O15" s="693"/>
      <c r="P15" s="683"/>
      <c r="AH15" s="1022"/>
      <c r="AI15" s="1022"/>
      <c r="AJ15" s="1022"/>
      <c r="AK15" s="1022"/>
      <c r="AL15" s="1022"/>
      <c r="AM15" s="1022"/>
      <c r="AN15" s="1022"/>
      <c r="AO15" s="1022"/>
      <c r="AP15" s="1022"/>
    </row>
    <row r="16" spans="1:42" ht="47.45" customHeight="1" thickBot="1" x14ac:dyDescent="0.3">
      <c r="B16" s="691"/>
      <c r="C16" s="1585"/>
      <c r="D16" s="714" t="s">
        <v>858</v>
      </c>
      <c r="E16" s="1021" t="str">
        <f>IFERROR((E28+E55),"")</f>
        <v/>
      </c>
      <c r="F16" s="1018" t="str">
        <f>IFERROR(F28+F55,"")</f>
        <v/>
      </c>
      <c r="G16" s="1018" t="str">
        <f>IFERROR(G28+G55,"")</f>
        <v/>
      </c>
      <c r="H16" s="1018" t="str">
        <f>IFERROR(H28+H55,"")</f>
        <v/>
      </c>
      <c r="I16" s="1018" t="str">
        <f>IFERROR(I28+I55,"")</f>
        <v/>
      </c>
      <c r="J16" s="1018" t="str">
        <f>IFERROR(J28+J55,"")</f>
        <v/>
      </c>
      <c r="K16" s="1133" t="str">
        <f>IFERROR((I16/G16)*100,"")</f>
        <v/>
      </c>
      <c r="L16" s="1133" t="str">
        <f>IFERROR((J16/H16)*100,"")</f>
        <v/>
      </c>
      <c r="M16" s="1018" t="str">
        <f>IFERROR(M28+M55,"")</f>
        <v/>
      </c>
      <c r="N16" s="1064" t="str">
        <f>IFERROR(N28+N55,"")</f>
        <v/>
      </c>
      <c r="O16" s="694"/>
      <c r="P16" s="683"/>
      <c r="AH16" s="1022"/>
      <c r="AI16" s="1022"/>
      <c r="AJ16" s="1022"/>
      <c r="AK16" s="1022"/>
      <c r="AL16" s="1022"/>
      <c r="AM16" s="1022"/>
      <c r="AN16" s="1022"/>
      <c r="AO16" s="1022"/>
      <c r="AP16" s="1022"/>
    </row>
    <row r="17" spans="2:16" ht="15" customHeight="1" x14ac:dyDescent="0.25">
      <c r="B17" s="695"/>
      <c r="C17" s="696"/>
      <c r="D17" s="697"/>
      <c r="E17" s="697"/>
      <c r="F17" s="697"/>
      <c r="G17" s="697"/>
      <c r="H17" s="697"/>
      <c r="I17" s="698"/>
      <c r="J17" s="698"/>
      <c r="K17" s="698"/>
      <c r="L17" s="697"/>
      <c r="M17" s="697"/>
      <c r="N17" s="699"/>
      <c r="O17" s="700"/>
    </row>
    <row r="18" spans="2:16" ht="15" customHeight="1" x14ac:dyDescent="0.25"/>
    <row r="19" spans="2:16" ht="240" customHeight="1" x14ac:dyDescent="0.25"/>
    <row r="20" spans="2:16" ht="274.89999999999998" customHeight="1" x14ac:dyDescent="0.25"/>
    <row r="21" spans="2:16" ht="75" customHeight="1" x14ac:dyDescent="0.25"/>
    <row r="22" spans="2:16" ht="30" customHeight="1" x14ac:dyDescent="0.25">
      <c r="B22" s="1567" t="s">
        <v>513</v>
      </c>
      <c r="C22" s="1568"/>
      <c r="D22" s="1568"/>
      <c r="E22" s="1568"/>
      <c r="F22" s="1568"/>
      <c r="G22" s="1568"/>
      <c r="H22" s="1568"/>
      <c r="I22" s="1568"/>
      <c r="J22" s="1568"/>
      <c r="K22" s="1568"/>
      <c r="L22" s="1568"/>
      <c r="M22" s="1568"/>
      <c r="N22" s="471"/>
      <c r="O22" s="472"/>
    </row>
    <row r="23" spans="2:16" ht="30" customHeight="1" x14ac:dyDescent="0.25">
      <c r="B23" s="466"/>
      <c r="C23" s="464"/>
      <c r="D23" s="464"/>
      <c r="E23" s="464"/>
      <c r="F23" s="464"/>
      <c r="G23" s="464"/>
      <c r="H23" s="464"/>
      <c r="I23" s="464"/>
      <c r="J23" s="464"/>
      <c r="K23" s="464"/>
      <c r="L23" s="464"/>
      <c r="M23" s="464"/>
      <c r="N23" s="463"/>
      <c r="O23" s="473"/>
    </row>
    <row r="24" spans="2:16" ht="49.9" customHeight="1" thickBot="1" x14ac:dyDescent="0.3">
      <c r="B24" s="466"/>
      <c r="C24" s="1030" t="s">
        <v>444</v>
      </c>
      <c r="D24" s="1029"/>
      <c r="E24" s="908"/>
      <c r="F24" s="908"/>
      <c r="G24" s="908"/>
      <c r="H24" s="908"/>
      <c r="I24" s="908"/>
      <c r="J24" s="908"/>
      <c r="K24" s="908"/>
      <c r="L24" s="908"/>
      <c r="M24" s="908"/>
      <c r="N24" s="1031"/>
      <c r="O24" s="473"/>
    </row>
    <row r="25" spans="2:16" ht="70.150000000000006" customHeight="1" thickBot="1" x14ac:dyDescent="0.3">
      <c r="B25" s="282"/>
      <c r="C25" s="1577" t="s">
        <v>1128</v>
      </c>
      <c r="D25" s="1578"/>
      <c r="E25" s="1569" t="s">
        <v>1139</v>
      </c>
      <c r="F25" s="1570"/>
      <c r="G25" s="1571" t="s">
        <v>1140</v>
      </c>
      <c r="H25" s="1572"/>
      <c r="I25" s="1573" t="s">
        <v>1141</v>
      </c>
      <c r="J25" s="1574"/>
      <c r="K25" s="1573" t="s">
        <v>1125</v>
      </c>
      <c r="L25" s="1574"/>
      <c r="M25" s="1562" t="s">
        <v>1305</v>
      </c>
      <c r="N25" s="1563"/>
      <c r="O25" s="283"/>
    </row>
    <row r="26" spans="2:16" ht="27" thickBot="1" x14ac:dyDescent="0.3">
      <c r="B26" s="282"/>
      <c r="C26" s="1028" t="str">
        <f>IFERROR('ID_Identificação do projeto'!C20,"")</f>
        <v>AA</v>
      </c>
      <c r="D26" s="1034"/>
      <c r="E26" s="1040" t="s">
        <v>756</v>
      </c>
      <c r="F26" s="1040" t="s">
        <v>757</v>
      </c>
      <c r="G26" s="1040" t="s">
        <v>756</v>
      </c>
      <c r="H26" s="1040" t="s">
        <v>757</v>
      </c>
      <c r="I26" s="1040" t="s">
        <v>756</v>
      </c>
      <c r="J26" s="1040" t="s">
        <v>757</v>
      </c>
      <c r="K26" s="1040" t="s">
        <v>756</v>
      </c>
      <c r="L26" s="1040" t="s">
        <v>757</v>
      </c>
      <c r="M26" s="1040" t="s">
        <v>756</v>
      </c>
      <c r="N26" s="1040" t="s">
        <v>757</v>
      </c>
      <c r="O26" s="474"/>
      <c r="P26" s="462"/>
    </row>
    <row r="27" spans="2:16" ht="79.900000000000006" customHeight="1" thickBot="1" x14ac:dyDescent="0.3">
      <c r="B27" s="282"/>
      <c r="C27" s="1575" t="s">
        <v>1130</v>
      </c>
      <c r="D27" s="1035" t="s">
        <v>1120</v>
      </c>
      <c r="E27" s="1037">
        <f>E29+E31+E33+E35+E37</f>
        <v>0</v>
      </c>
      <c r="F27" s="1037">
        <f t="shared" ref="F27:I27" si="1">F29+F31+F33+F35+F37</f>
        <v>0</v>
      </c>
      <c r="G27" s="1037">
        <f t="shared" si="1"/>
        <v>0</v>
      </c>
      <c r="H27" s="1037">
        <f>IFERROR(H29+H31+H33+H35+H37,"")</f>
        <v>0</v>
      </c>
      <c r="I27" s="1037">
        <f t="shared" si="1"/>
        <v>0</v>
      </c>
      <c r="J27" s="1037">
        <f>IFERROR(J29+J31+J33+J35+J37,"")</f>
        <v>0</v>
      </c>
      <c r="K27" s="1181" t="str">
        <f t="shared" ref="K27:L29" si="2">IFERROR((I27/G27)*100,"")</f>
        <v/>
      </c>
      <c r="L27" s="1181" t="str">
        <f t="shared" si="2"/>
        <v/>
      </c>
      <c r="M27" s="1037" t="str">
        <f>IFERROR(M29+M31+M33+M35+M37,"")</f>
        <v/>
      </c>
      <c r="N27" s="1037" t="str">
        <f>IFERROR(N29+N31+N33+N35+N37,"")</f>
        <v/>
      </c>
      <c r="O27" s="474"/>
      <c r="P27" s="462"/>
    </row>
    <row r="28" spans="2:16" ht="79.900000000000006" customHeight="1" thickBot="1" x14ac:dyDescent="0.3">
      <c r="B28" s="282"/>
      <c r="C28" s="1576"/>
      <c r="D28" s="1036" t="s">
        <v>858</v>
      </c>
      <c r="E28" s="1038" t="str">
        <f t="shared" ref="E28:J28" si="3">IFERROR(E30+E32+E34+E36+E38,"")</f>
        <v/>
      </c>
      <c r="F28" s="1038" t="str">
        <f t="shared" si="3"/>
        <v/>
      </c>
      <c r="G28" s="1038" t="str">
        <f t="shared" si="3"/>
        <v/>
      </c>
      <c r="H28" s="1038" t="str">
        <f t="shared" si="3"/>
        <v/>
      </c>
      <c r="I28" s="1038" t="str">
        <f t="shared" si="3"/>
        <v/>
      </c>
      <c r="J28" s="1038" t="str">
        <f t="shared" si="3"/>
        <v/>
      </c>
      <c r="K28" s="1182" t="str">
        <f>IFERROR((I28/G28)*100,"")</f>
        <v/>
      </c>
      <c r="L28" s="1182" t="str">
        <f t="shared" si="2"/>
        <v/>
      </c>
      <c r="M28" s="1038" t="str">
        <f>IFERROR(M30+M32+M34+M36+M38,"")</f>
        <v/>
      </c>
      <c r="N28" s="1038" t="str">
        <f>IFERROR(N30+N32+N34+N36+N38,"")</f>
        <v/>
      </c>
      <c r="O28" s="474"/>
      <c r="P28" s="462"/>
    </row>
    <row r="29" spans="2:16" ht="64.150000000000006" customHeight="1" x14ac:dyDescent="0.25">
      <c r="B29" s="282"/>
      <c r="C29" s="1579" t="s">
        <v>473</v>
      </c>
      <c r="D29" s="1033" t="s">
        <v>1120</v>
      </c>
      <c r="E29" s="1175">
        <f>IFERROR('IC_todos os projetos'!F33,"")</f>
        <v>0</v>
      </c>
      <c r="F29" s="1176">
        <f>IFERROR('IC_todos os projetos'!J33,"")</f>
        <v>0</v>
      </c>
      <c r="G29" s="1175">
        <f>IFERROR('IC_todos os projetos'!G33,"")</f>
        <v>0</v>
      </c>
      <c r="H29" s="1176">
        <f>IFERROR('IC_todos os projetos'!K33,"")</f>
        <v>0</v>
      </c>
      <c r="I29" s="1175">
        <f>IFERROR('IC_todos os projetos'!E33,"")</f>
        <v>0</v>
      </c>
      <c r="J29" s="1176">
        <f>IFERROR('IC_todos os projetos'!I33,"")</f>
        <v>0</v>
      </c>
      <c r="K29" s="1183" t="str">
        <f t="shared" si="2"/>
        <v/>
      </c>
      <c r="L29" s="1180" t="str">
        <f t="shared" si="2"/>
        <v/>
      </c>
      <c r="M29" s="1175" t="str">
        <f>IFERROR(I29*FACalc_micromobilidade!$Z$13,"")</f>
        <v/>
      </c>
      <c r="N29" s="1176" t="str">
        <f>IFERROR(J29*FACalc_micromobilidade!$Z$13,"")</f>
        <v/>
      </c>
      <c r="O29" s="475"/>
      <c r="P29" s="48"/>
    </row>
    <row r="30" spans="2:16" ht="60" customHeight="1" thickBot="1" x14ac:dyDescent="0.3">
      <c r="B30" s="282"/>
      <c r="C30" s="1580"/>
      <c r="D30" s="1032" t="s">
        <v>858</v>
      </c>
      <c r="E30" s="1177" t="str">
        <f t="shared" ref="E30:J30" si="4">IFERROR(E29*$C$26,"")</f>
        <v/>
      </c>
      <c r="F30" s="1178" t="str">
        <f t="shared" si="4"/>
        <v/>
      </c>
      <c r="G30" s="1177" t="str">
        <f t="shared" si="4"/>
        <v/>
      </c>
      <c r="H30" s="1178" t="str">
        <f t="shared" si="4"/>
        <v/>
      </c>
      <c r="I30" s="1177" t="str">
        <f t="shared" si="4"/>
        <v/>
      </c>
      <c r="J30" s="1178" t="str">
        <f t="shared" si="4"/>
        <v/>
      </c>
      <c r="K30" s="1184" t="str">
        <f>IFERROR((I30/G30)*100,"")</f>
        <v/>
      </c>
      <c r="L30" s="1185" t="str">
        <f>IFERROR((J30/H30)*100,"")</f>
        <v/>
      </c>
      <c r="M30" s="1177" t="str">
        <f>IFERROR((I30*FACalc_micromobilidade!$Z$13)*$C$26,"")</f>
        <v/>
      </c>
      <c r="N30" s="1178" t="str">
        <f>IFERROR((J30*FACalc_micromobilidade!$Z$13)*$C$26,"")</f>
        <v/>
      </c>
      <c r="O30" s="475"/>
      <c r="P30" s="48"/>
    </row>
    <row r="31" spans="2:16" ht="60" customHeight="1" x14ac:dyDescent="0.25">
      <c r="B31" s="282"/>
      <c r="C31" s="1601" t="s">
        <v>803</v>
      </c>
      <c r="D31" s="1033" t="s">
        <v>1120</v>
      </c>
      <c r="E31" s="1175">
        <f>IFERROR('IC_todos os projetos'!F62,"")</f>
        <v>0</v>
      </c>
      <c r="F31" s="1176">
        <f>IFERROR('IC_todos os projetos'!J62,"")</f>
        <v>0</v>
      </c>
      <c r="G31" s="1175">
        <f>IFERROR('IC_todos os projetos'!G62,"")</f>
        <v>0</v>
      </c>
      <c r="H31" s="1176">
        <f>IFERROR('IC_todos os projetos'!K62,"")</f>
        <v>0</v>
      </c>
      <c r="I31" s="1175">
        <f>IFERROR('IC_todos os projetos'!E62,"")</f>
        <v>0</v>
      </c>
      <c r="J31" s="1176">
        <f>IFERROR('IC_todos os projetos'!I62,"")</f>
        <v>0</v>
      </c>
      <c r="K31" s="1183" t="str">
        <f t="shared" ref="K31:L35" si="5">IFERROR((I31/G31)*100,"")</f>
        <v/>
      </c>
      <c r="L31" s="1180" t="str">
        <f t="shared" si="5"/>
        <v/>
      </c>
      <c r="M31" s="1175" t="str">
        <f>IFERROR(I31*FACalc_micromobilidade!$Z$13,"")</f>
        <v/>
      </c>
      <c r="N31" s="1176" t="str">
        <f>IFERROR(J31*FACalc_micromobilidade!$Z$13,"")</f>
        <v/>
      </c>
      <c r="O31" s="475"/>
      <c r="P31" s="48"/>
    </row>
    <row r="32" spans="2:16" ht="60" customHeight="1" thickBot="1" x14ac:dyDescent="0.3">
      <c r="B32" s="282"/>
      <c r="C32" s="1602"/>
      <c r="D32" s="1032" t="s">
        <v>858</v>
      </c>
      <c r="E32" s="1177" t="str">
        <f t="shared" ref="E32:J32" si="6">IFERROR(E31*$C$26,"")</f>
        <v/>
      </c>
      <c r="F32" s="1178" t="str">
        <f t="shared" si="6"/>
        <v/>
      </c>
      <c r="G32" s="1177" t="str">
        <f t="shared" si="6"/>
        <v/>
      </c>
      <c r="H32" s="1179" t="str">
        <f t="shared" si="6"/>
        <v/>
      </c>
      <c r="I32" s="1177" t="str">
        <f t="shared" si="6"/>
        <v/>
      </c>
      <c r="J32" s="1179" t="str">
        <f t="shared" si="6"/>
        <v/>
      </c>
      <c r="K32" s="1184" t="str">
        <f>IFERROR((I32/G32)*100,"")</f>
        <v/>
      </c>
      <c r="L32" s="1185" t="str">
        <f>IFERROR((J31/H31)*100,"")</f>
        <v/>
      </c>
      <c r="M32" s="1177" t="str">
        <f>IFERROR((I32*FACalc_micromobilidade!$Z$13)*$C$26,"")</f>
        <v/>
      </c>
      <c r="N32" s="1178" t="str">
        <f>IFERROR((J32*FACalc_micromobilidade!$Z$13)*$C$26,"")</f>
        <v/>
      </c>
      <c r="O32" s="475"/>
      <c r="P32" s="48"/>
    </row>
    <row r="33" spans="2:16" ht="60" customHeight="1" x14ac:dyDescent="0.25">
      <c r="B33" s="282"/>
      <c r="C33" s="1579" t="s">
        <v>804</v>
      </c>
      <c r="D33" s="1033" t="s">
        <v>1120</v>
      </c>
      <c r="E33" s="1175">
        <f>IFERROR('IC_todos os projetos'!F89,"")</f>
        <v>0</v>
      </c>
      <c r="F33" s="1176">
        <f>IFERROR('IC_todos os projetos'!J89,"")</f>
        <v>0</v>
      </c>
      <c r="G33" s="1175">
        <f>IFERROR('IC_todos os projetos'!G89,"")</f>
        <v>0</v>
      </c>
      <c r="H33" s="1176">
        <f>IFERROR('IC_todos os projetos'!K89,"")</f>
        <v>0</v>
      </c>
      <c r="I33" s="1175">
        <f>IFERROR('IC_todos os projetos'!E89,"")</f>
        <v>0</v>
      </c>
      <c r="J33" s="1176">
        <f>IFERROR('IC_todos os projetos'!I89,"")</f>
        <v>0</v>
      </c>
      <c r="K33" s="1183" t="str">
        <f t="shared" si="5"/>
        <v/>
      </c>
      <c r="L33" s="1180" t="str">
        <f>IFERROR((J33/H33)*100,"")</f>
        <v/>
      </c>
      <c r="M33" s="1175" t="str">
        <f>IFERROR(I33*FACalc_micromobilidade!$Z$13,"")</f>
        <v/>
      </c>
      <c r="N33" s="1176" t="str">
        <f>IFERROR(J33*FACalc_micromobilidade!$Z$13,"")</f>
        <v/>
      </c>
      <c r="O33" s="475"/>
      <c r="P33" s="48"/>
    </row>
    <row r="34" spans="2:16" ht="60" customHeight="1" thickBot="1" x14ac:dyDescent="0.3">
      <c r="B34" s="282"/>
      <c r="C34" s="1603"/>
      <c r="D34" s="1032" t="s">
        <v>858</v>
      </c>
      <c r="E34" s="1177" t="str">
        <f t="shared" ref="E34:J34" si="7">IFERROR(E33*$C$26,"")</f>
        <v/>
      </c>
      <c r="F34" s="1178" t="str">
        <f t="shared" si="7"/>
        <v/>
      </c>
      <c r="G34" s="1177" t="str">
        <f t="shared" si="7"/>
        <v/>
      </c>
      <c r="H34" s="1179" t="str">
        <f t="shared" si="7"/>
        <v/>
      </c>
      <c r="I34" s="1177" t="str">
        <f t="shared" si="7"/>
        <v/>
      </c>
      <c r="J34" s="1179" t="str">
        <f t="shared" si="7"/>
        <v/>
      </c>
      <c r="K34" s="1184" t="str">
        <f>IFERROR((I34/G34)*100,"")</f>
        <v/>
      </c>
      <c r="L34" s="1185" t="str">
        <f>IFERROR((J34/H34)*100,"")</f>
        <v/>
      </c>
      <c r="M34" s="1177" t="str">
        <f>IFERROR((I34*FACalc_micromobilidade!$Z$13)*$C$26,"")</f>
        <v/>
      </c>
      <c r="N34" s="1178" t="str">
        <f>IFERROR((J34*FACalc_micromobilidade!$Z$13)*$C$26,"")</f>
        <v/>
      </c>
      <c r="O34" s="475"/>
      <c r="P34" s="48"/>
    </row>
    <row r="35" spans="2:16" ht="60" customHeight="1" x14ac:dyDescent="0.25">
      <c r="B35" s="282"/>
      <c r="C35" s="1579" t="s">
        <v>813</v>
      </c>
      <c r="D35" s="1033" t="s">
        <v>1120</v>
      </c>
      <c r="E35" s="1175">
        <f>IFERROR('IC_todos os projetos'!F106,"")</f>
        <v>0</v>
      </c>
      <c r="F35" s="1176">
        <f>IFERROR('IC_todos os projetos'!J106,"")</f>
        <v>0</v>
      </c>
      <c r="G35" s="1175">
        <f>IFERROR('IC_todos os projetos'!G106,"")</f>
        <v>0</v>
      </c>
      <c r="H35" s="1176">
        <f>IFERROR('IC_todos os projetos'!K106,"")</f>
        <v>0</v>
      </c>
      <c r="I35" s="1175">
        <f>IFERROR('IC_todos os projetos'!E106,"")</f>
        <v>0</v>
      </c>
      <c r="J35" s="1176">
        <f>IFERROR('IC_todos os projetos'!I106,"")</f>
        <v>0</v>
      </c>
      <c r="K35" s="1183" t="str">
        <f t="shared" si="5"/>
        <v/>
      </c>
      <c r="L35" s="1180" t="str">
        <f t="shared" si="5"/>
        <v/>
      </c>
      <c r="M35" s="1175" t="str">
        <f>IFERROR(I35*FACalc_micromobilidade!$Z$13,"")</f>
        <v/>
      </c>
      <c r="N35" s="1176" t="str">
        <f>IFERROR(J35*FACalc_micromobilidade!$Z$13,"")</f>
        <v/>
      </c>
      <c r="O35" s="475"/>
      <c r="P35" s="48"/>
    </row>
    <row r="36" spans="2:16" ht="60" customHeight="1" thickBot="1" x14ac:dyDescent="0.3">
      <c r="B36" s="282"/>
      <c r="C36" s="1580"/>
      <c r="D36" s="1032" t="s">
        <v>858</v>
      </c>
      <c r="E36" s="1177" t="str">
        <f t="shared" ref="E36:J36" si="8">IFERROR(E35*$C$26,"")</f>
        <v/>
      </c>
      <c r="F36" s="1178" t="str">
        <f t="shared" si="8"/>
        <v/>
      </c>
      <c r="G36" s="1177" t="str">
        <f t="shared" si="8"/>
        <v/>
      </c>
      <c r="H36" s="1179" t="str">
        <f t="shared" si="8"/>
        <v/>
      </c>
      <c r="I36" s="1177" t="str">
        <f t="shared" si="8"/>
        <v/>
      </c>
      <c r="J36" s="1179" t="str">
        <f t="shared" si="8"/>
        <v/>
      </c>
      <c r="K36" s="1184" t="str">
        <f t="shared" ref="K36:L38" si="9">IFERROR((I36/G36)*100,"")</f>
        <v/>
      </c>
      <c r="L36" s="1185" t="str">
        <f t="shared" si="9"/>
        <v/>
      </c>
      <c r="M36" s="1177" t="str">
        <f>IFERROR((I36*FACalc_micromobilidade!$Z$13)*$C$26,"")</f>
        <v/>
      </c>
      <c r="N36" s="1178" t="str">
        <f>IFERROR((J36*FACalc_micromobilidade!$Z$13)*$C$26,"")</f>
        <v/>
      </c>
      <c r="O36" s="475"/>
      <c r="P36" s="48"/>
    </row>
    <row r="37" spans="2:16" ht="60" customHeight="1" x14ac:dyDescent="0.25">
      <c r="B37" s="282"/>
      <c r="C37" s="1603" t="s">
        <v>1129</v>
      </c>
      <c r="D37" s="1033" t="s">
        <v>1120</v>
      </c>
      <c r="E37" s="1175">
        <f>IFERROR('IC_todos os projetos'!F131,"")</f>
        <v>0</v>
      </c>
      <c r="F37" s="1176">
        <f>IFERROR('IC_todos os projetos'!J131,"")</f>
        <v>0</v>
      </c>
      <c r="G37" s="1175">
        <f>IFERROR('IC_todos os projetos'!G131,"")</f>
        <v>0</v>
      </c>
      <c r="H37" s="1176">
        <f>IFERROR('IC_todos os projetos'!K131,"")</f>
        <v>0</v>
      </c>
      <c r="I37" s="1175">
        <f>IFERROR('IC_todos os projetos'!E131,"")</f>
        <v>0</v>
      </c>
      <c r="J37" s="1176">
        <f>IFERROR('IC_todos os projetos'!I131,"")</f>
        <v>0</v>
      </c>
      <c r="K37" s="1183" t="str">
        <f t="shared" si="9"/>
        <v/>
      </c>
      <c r="L37" s="1180" t="str">
        <f t="shared" si="9"/>
        <v/>
      </c>
      <c r="M37" s="1175" t="str">
        <f>IFERROR(I37*FACalc_micromobilidade!$Z$13,"")</f>
        <v/>
      </c>
      <c r="N37" s="1176" t="str">
        <f>IFERROR(J37*FACalc_micromobilidade!$Z$13,"")</f>
        <v/>
      </c>
      <c r="O37" s="475"/>
      <c r="P37" s="48"/>
    </row>
    <row r="38" spans="2:16" ht="60" customHeight="1" thickBot="1" x14ac:dyDescent="0.3">
      <c r="B38" s="282"/>
      <c r="C38" s="1580"/>
      <c r="D38" s="1032" t="s">
        <v>858</v>
      </c>
      <c r="E38" s="1177" t="str">
        <f t="shared" ref="E38:J38" si="10">IFERROR(E37*$C$26,"")</f>
        <v/>
      </c>
      <c r="F38" s="1178" t="str">
        <f t="shared" si="10"/>
        <v/>
      </c>
      <c r="G38" s="1177" t="str">
        <f t="shared" si="10"/>
        <v/>
      </c>
      <c r="H38" s="1179" t="str">
        <f t="shared" si="10"/>
        <v/>
      </c>
      <c r="I38" s="1177" t="str">
        <f t="shared" si="10"/>
        <v/>
      </c>
      <c r="J38" s="1179" t="str">
        <f t="shared" si="10"/>
        <v/>
      </c>
      <c r="K38" s="1184" t="str">
        <f t="shared" si="9"/>
        <v/>
      </c>
      <c r="L38" s="1185" t="str">
        <f t="shared" si="9"/>
        <v/>
      </c>
      <c r="M38" s="1177" t="str">
        <f>IFERROR((I38*FACalc_micromobilidade!$Z$13)*$C$26,"")</f>
        <v/>
      </c>
      <c r="N38" s="1178" t="str">
        <f>IFERROR((J38*FACalc_micromobilidade!$Z$13)*$C$26,"")</f>
        <v/>
      </c>
      <c r="O38" s="475"/>
      <c r="P38" s="48"/>
    </row>
    <row r="39" spans="2:16" ht="15" customHeight="1" x14ac:dyDescent="0.25">
      <c r="B39" s="467"/>
      <c r="C39" s="468"/>
      <c r="D39" s="701"/>
      <c r="E39" s="469"/>
      <c r="F39" s="469"/>
      <c r="G39" s="469"/>
      <c r="H39" s="469"/>
      <c r="I39" s="470"/>
      <c r="J39" s="470"/>
      <c r="K39" s="470"/>
      <c r="L39" s="469"/>
      <c r="M39" s="469"/>
      <c r="N39" s="476"/>
      <c r="O39" s="477"/>
      <c r="P39" s="48"/>
    </row>
    <row r="40" spans="2:16" ht="49.9" customHeight="1" x14ac:dyDescent="0.25">
      <c r="C40" s="44"/>
      <c r="D40" s="1"/>
      <c r="E40" s="1"/>
      <c r="F40" s="1"/>
      <c r="G40" s="1"/>
      <c r="H40" s="1"/>
      <c r="I40" s="51"/>
      <c r="J40" s="51"/>
      <c r="K40" s="51"/>
      <c r="L40" s="1"/>
      <c r="M40" s="1"/>
      <c r="N40" s="43"/>
      <c r="O40" s="43"/>
    </row>
    <row r="41" spans="2:16" ht="30" customHeight="1" x14ac:dyDescent="0.25">
      <c r="B41" s="1564" t="s">
        <v>514</v>
      </c>
      <c r="C41" s="1565"/>
      <c r="D41" s="1565"/>
      <c r="E41" s="1565"/>
      <c r="F41" s="1565"/>
      <c r="G41" s="1565"/>
      <c r="H41" s="1565"/>
      <c r="I41" s="1565"/>
      <c r="J41" s="1565"/>
      <c r="K41" s="1565"/>
      <c r="L41" s="1565"/>
      <c r="M41" s="1565"/>
      <c r="N41" s="1565"/>
      <c r="O41" s="1566"/>
    </row>
    <row r="42" spans="2:16" ht="19.149999999999999" customHeight="1" thickBot="1" x14ac:dyDescent="0.3">
      <c r="B42" s="637"/>
      <c r="C42" s="1050"/>
      <c r="D42" s="1050"/>
      <c r="E42" s="1050"/>
      <c r="F42" s="1050"/>
      <c r="G42" s="1050"/>
      <c r="H42" s="1050"/>
      <c r="I42" s="1050"/>
      <c r="J42" s="1050"/>
      <c r="K42" s="1050"/>
      <c r="L42" s="1050"/>
      <c r="M42" s="1050"/>
      <c r="N42" s="1050"/>
      <c r="O42" s="638"/>
    </row>
    <row r="43" spans="2:16" ht="80.45" customHeight="1" thickBot="1" x14ac:dyDescent="0.3">
      <c r="B43" s="465"/>
      <c r="C43" s="1581" t="s">
        <v>1132</v>
      </c>
      <c r="D43" s="479"/>
      <c r="E43" s="1569" t="s">
        <v>1135</v>
      </c>
      <c r="F43" s="1570"/>
      <c r="G43" s="1571" t="s">
        <v>1126</v>
      </c>
      <c r="H43" s="1572"/>
      <c r="I43" s="1573" t="s">
        <v>1136</v>
      </c>
      <c r="J43" s="1574"/>
      <c r="K43" s="1573" t="s">
        <v>1125</v>
      </c>
      <c r="L43" s="1574"/>
      <c r="M43" s="1562" t="s">
        <v>1305</v>
      </c>
      <c r="N43" s="1563"/>
      <c r="O43" s="481"/>
      <c r="P43" s="462"/>
    </row>
    <row r="44" spans="2:16" ht="34.9" customHeight="1" thickBot="1" x14ac:dyDescent="0.3">
      <c r="B44" s="465"/>
      <c r="C44" s="1582"/>
      <c r="D44" s="1058" t="s">
        <v>3</v>
      </c>
      <c r="E44" s="1041" t="s">
        <v>756</v>
      </c>
      <c r="F44" s="1042" t="s">
        <v>757</v>
      </c>
      <c r="G44" s="1041" t="s">
        <v>756</v>
      </c>
      <c r="H44" s="1042" t="s">
        <v>757</v>
      </c>
      <c r="I44" s="1041" t="s">
        <v>756</v>
      </c>
      <c r="J44" s="1042" t="s">
        <v>757</v>
      </c>
      <c r="K44" s="1041" t="s">
        <v>756</v>
      </c>
      <c r="L44" s="1042" t="s">
        <v>757</v>
      </c>
      <c r="M44" s="1041" t="s">
        <v>756</v>
      </c>
      <c r="N44" s="1042" t="s">
        <v>757</v>
      </c>
      <c r="O44" s="482"/>
      <c r="P44" s="48"/>
    </row>
    <row r="45" spans="2:16" ht="49.9" customHeight="1" thickBot="1" x14ac:dyDescent="0.3">
      <c r="B45" s="465"/>
      <c r="C45" s="1063" t="s">
        <v>1145</v>
      </c>
      <c r="D45" s="1061" t="s">
        <v>681</v>
      </c>
      <c r="E45" s="1060">
        <f t="shared" ref="E45:J45" si="11">IFERROR(SUM(E46:E50),"")</f>
        <v>0</v>
      </c>
      <c r="F45" s="1060">
        <f t="shared" si="11"/>
        <v>0</v>
      </c>
      <c r="G45" s="1060">
        <f t="shared" si="11"/>
        <v>0</v>
      </c>
      <c r="H45" s="1060">
        <f t="shared" si="11"/>
        <v>0</v>
      </c>
      <c r="I45" s="1060">
        <f t="shared" si="11"/>
        <v>0</v>
      </c>
      <c r="J45" s="1060">
        <f t="shared" si="11"/>
        <v>0</v>
      </c>
      <c r="K45" s="1060" t="str">
        <f t="shared" ref="K45:L50" si="12">IFERROR((I45/G45)*100,"")</f>
        <v/>
      </c>
      <c r="L45" s="1060" t="str">
        <f t="shared" si="12"/>
        <v/>
      </c>
      <c r="M45" s="1060">
        <f>IFERROR(SUM(M46:M50),"")</f>
        <v>0</v>
      </c>
      <c r="N45" s="1060">
        <f>IFERROR(SUM(N46:N50),"")</f>
        <v>0</v>
      </c>
      <c r="O45" s="482"/>
      <c r="P45" s="48"/>
    </row>
    <row r="46" spans="2:16" ht="49.9" customHeight="1" thickBot="1" x14ac:dyDescent="0.3">
      <c r="B46" s="465"/>
      <c r="C46" s="1043" t="s">
        <v>553</v>
      </c>
      <c r="D46" s="1059" t="s">
        <v>681</v>
      </c>
      <c r="E46" s="1186">
        <f>IFERROR('TM1_micromobilidade '!E158,"")</f>
        <v>0</v>
      </c>
      <c r="F46" s="1187">
        <f>IFERROR('TM1_micromobilidade '!F158,"")</f>
        <v>0</v>
      </c>
      <c r="G46" s="1186" t="str">
        <f>IFERROR('TM1_micromobilidade '!E159,"")</f>
        <v/>
      </c>
      <c r="H46" s="1187" t="str">
        <f>IFERROR('TM1_micromobilidade '!F159,"")</f>
        <v/>
      </c>
      <c r="I46" s="1186" t="str">
        <f>IFERROR('TM1_micromobilidade '!E157,"")</f>
        <v/>
      </c>
      <c r="J46" s="1187" t="str">
        <f>IFERROR('TM1_micromobilidade '!F157,"")</f>
        <v/>
      </c>
      <c r="K46" s="1186" t="str">
        <f t="shared" si="12"/>
        <v/>
      </c>
      <c r="L46" s="1187" t="str">
        <f t="shared" si="12"/>
        <v/>
      </c>
      <c r="M46" s="1186" t="str">
        <f>IFERROR('TM1_micromobilidade '!E163,"")</f>
        <v/>
      </c>
      <c r="N46" s="1187" t="str">
        <f>IFERROR('TM1_micromobilidade '!F163,"")</f>
        <v/>
      </c>
      <c r="O46" s="482"/>
      <c r="P46" s="48"/>
    </row>
    <row r="47" spans="2:16" ht="49.9" customHeight="1" thickBot="1" x14ac:dyDescent="0.3">
      <c r="B47" s="465"/>
      <c r="C47" s="1043" t="s">
        <v>554</v>
      </c>
      <c r="D47" s="1044" t="s">
        <v>681</v>
      </c>
      <c r="E47" s="1188">
        <f>IFERROR(TM2_rodovia!E124,"")</f>
        <v>0</v>
      </c>
      <c r="F47" s="1189">
        <f>IFERROR(TM2_rodovia!F124,"")</f>
        <v>0</v>
      </c>
      <c r="G47" s="1188" t="str">
        <f>IFERROR(TM2_rodovia!E125,"0")</f>
        <v/>
      </c>
      <c r="H47" s="1189" t="str">
        <f>IFERROR(TM2_rodovia!F125,"")</f>
        <v/>
      </c>
      <c r="I47" s="1188" t="str">
        <f>IFERROR(TM2_rodovia!E123,"")</f>
        <v/>
      </c>
      <c r="J47" s="1189" t="str">
        <f>IFERROR(TM2_rodovia!F123,"")</f>
        <v/>
      </c>
      <c r="K47" s="1188" t="str">
        <f t="shared" si="12"/>
        <v/>
      </c>
      <c r="L47" s="1189" t="str">
        <f t="shared" si="12"/>
        <v/>
      </c>
      <c r="M47" s="1188" t="str">
        <f>IFERROR(TM2_rodovia!E129,"")</f>
        <v/>
      </c>
      <c r="N47" s="1189" t="str">
        <f>IFERROR(TM2_rodovia!F129,"")</f>
        <v/>
      </c>
      <c r="O47" s="483"/>
      <c r="P47" s="48"/>
    </row>
    <row r="48" spans="2:16" ht="49.9" customHeight="1" thickBot="1" x14ac:dyDescent="0.3">
      <c r="B48" s="465"/>
      <c r="C48" s="1043" t="s">
        <v>555</v>
      </c>
      <c r="D48" s="1044" t="s">
        <v>681</v>
      </c>
      <c r="E48" s="1188">
        <f>IFERROR('TM3_ferrovia e metro'!E130,"")</f>
        <v>0</v>
      </c>
      <c r="F48" s="1189">
        <f>IFERROR('TM3_ferrovia e metro'!F130,"")</f>
        <v>0</v>
      </c>
      <c r="G48" s="1188" t="str">
        <f>IFERROR('TM3_ferrovia e metro'!E131,"")</f>
        <v/>
      </c>
      <c r="H48" s="1189" t="str">
        <f>IFERROR('TM3_ferrovia e metro'!F131,"")</f>
        <v/>
      </c>
      <c r="I48" s="1188" t="str">
        <f>IFERROR('TM3_ferrovia e metro'!E129,"")</f>
        <v/>
      </c>
      <c r="J48" s="1189" t="str">
        <f>IFERROR('TM3_ferrovia e metro'!F129,"")</f>
        <v/>
      </c>
      <c r="K48" s="1188" t="str">
        <f t="shared" si="12"/>
        <v/>
      </c>
      <c r="L48" s="1189" t="str">
        <f t="shared" si="12"/>
        <v/>
      </c>
      <c r="M48" s="1188" t="str">
        <f>IFERROR('TM3_ferrovia e metro'!E135,"")</f>
        <v/>
      </c>
      <c r="N48" s="1189" t="str">
        <f>IFERROR('TM3_ferrovia e metro'!F135,"")</f>
        <v/>
      </c>
      <c r="O48" s="483"/>
      <c r="P48" s="48"/>
    </row>
    <row r="49" spans="2:16" ht="49.9" customHeight="1" thickBot="1" x14ac:dyDescent="0.3">
      <c r="B49" s="465"/>
      <c r="C49" s="1043" t="s">
        <v>556</v>
      </c>
      <c r="D49" s="1044" t="s">
        <v>681</v>
      </c>
      <c r="E49" s="1188">
        <f>IFERROR('TM4_vias navegáveis interiores'!E80,"")</f>
        <v>0</v>
      </c>
      <c r="F49" s="1189">
        <f>IFERROR('TM4_vias navegáveis interiores'!F80,"")</f>
        <v>0</v>
      </c>
      <c r="G49" s="1188">
        <f>IFERROR('TM4_vias navegáveis interiores'!E81,"")</f>
        <v>0</v>
      </c>
      <c r="H49" s="1189">
        <f>IFERROR('TM4_vias navegáveis interiores'!F81,"")</f>
        <v>0</v>
      </c>
      <c r="I49" s="1188">
        <f>IFERROR('TM4_vias navegáveis interiores'!E79,"")</f>
        <v>0</v>
      </c>
      <c r="J49" s="1189">
        <f>IFERROR('TM4_vias navegáveis interiores'!F79,"")</f>
        <v>0</v>
      </c>
      <c r="K49" s="1188" t="str">
        <f t="shared" si="12"/>
        <v/>
      </c>
      <c r="L49" s="1189" t="str">
        <f t="shared" si="12"/>
        <v/>
      </c>
      <c r="M49" s="1188" t="str">
        <f>IFERROR('TM4_vias navegáveis interiores'!E83,"")</f>
        <v/>
      </c>
      <c r="N49" s="1189" t="str">
        <f>IFERROR('TM4_vias navegáveis interiores'!F83,"")</f>
        <v/>
      </c>
      <c r="O49" s="483"/>
      <c r="P49" s="48"/>
    </row>
    <row r="50" spans="2:16" ht="49.9" customHeight="1" thickBot="1" x14ac:dyDescent="0.3">
      <c r="B50" s="465"/>
      <c r="C50" s="1043" t="s">
        <v>794</v>
      </c>
      <c r="D50" s="1044" t="s">
        <v>681</v>
      </c>
      <c r="E50" s="1190">
        <f>IFERROR('TM5_parques de estacionamento'!E143,"")</f>
        <v>0</v>
      </c>
      <c r="F50" s="1191">
        <f>IFERROR('TM5_parques de estacionamento'!F143,"")</f>
        <v>0</v>
      </c>
      <c r="G50" s="1190">
        <f>IFERROR('TM5_parques de estacionamento'!E144,"")</f>
        <v>0</v>
      </c>
      <c r="H50" s="1191">
        <f>IFERROR('TM5_parques de estacionamento'!F144,"")</f>
        <v>0</v>
      </c>
      <c r="I50" s="1190">
        <f>IFERROR('TM5_parques de estacionamento'!E142,"")</f>
        <v>0</v>
      </c>
      <c r="J50" s="1191">
        <f>IFERROR('TM4_vias navegáveis interiores'!F139,"")</f>
        <v>0</v>
      </c>
      <c r="K50" s="1190" t="str">
        <f t="shared" si="12"/>
        <v/>
      </c>
      <c r="L50" s="1191" t="str">
        <f t="shared" si="12"/>
        <v/>
      </c>
      <c r="M50" s="1190" t="str">
        <f>IFERROR('TM5_parques de estacionamento'!E146,"")</f>
        <v/>
      </c>
      <c r="N50" s="1191" t="str">
        <f>IFERROR('TM5_parques de estacionamento'!F146,"")</f>
        <v/>
      </c>
      <c r="O50" s="483"/>
      <c r="P50" s="48"/>
    </row>
    <row r="51" spans="2:16" ht="16.149999999999999" customHeight="1" x14ac:dyDescent="0.25">
      <c r="B51" s="465"/>
      <c r="C51" s="291"/>
      <c r="D51" s="394"/>
      <c r="E51" s="1051"/>
      <c r="F51" s="1051"/>
      <c r="G51" s="1051"/>
      <c r="H51" s="1051"/>
      <c r="I51" s="1051"/>
      <c r="J51" s="1051"/>
      <c r="K51" s="1052"/>
      <c r="L51" s="1052"/>
      <c r="M51" s="1053"/>
      <c r="N51" s="1053"/>
      <c r="O51" s="483"/>
      <c r="P51" s="48"/>
    </row>
    <row r="52" spans="2:16" ht="15" customHeight="1" thickBot="1" x14ac:dyDescent="0.3">
      <c r="B52" s="465"/>
      <c r="C52" s="464"/>
      <c r="D52" s="464"/>
      <c r="E52" s="464"/>
      <c r="F52" s="464"/>
      <c r="G52" s="464"/>
      <c r="H52" s="464"/>
      <c r="I52" s="464"/>
      <c r="J52" s="464"/>
      <c r="K52" s="464"/>
      <c r="L52" s="464"/>
      <c r="M52" s="464"/>
      <c r="N52" s="463"/>
      <c r="O52" s="481"/>
    </row>
    <row r="53" spans="2:16" ht="79.900000000000006" customHeight="1" thickBot="1" x14ac:dyDescent="0.3">
      <c r="B53" s="465"/>
      <c r="C53" s="1599" t="s">
        <v>1131</v>
      </c>
      <c r="D53" s="1600"/>
      <c r="E53" s="1569" t="s">
        <v>1135</v>
      </c>
      <c r="F53" s="1570"/>
      <c r="G53" s="1571" t="s">
        <v>1126</v>
      </c>
      <c r="H53" s="1572"/>
      <c r="I53" s="1573" t="s">
        <v>1136</v>
      </c>
      <c r="J53" s="1574"/>
      <c r="K53" s="1573" t="s">
        <v>1125</v>
      </c>
      <c r="L53" s="1574"/>
      <c r="M53" s="1597" t="s">
        <v>1305</v>
      </c>
      <c r="N53" s="1598"/>
      <c r="O53" s="481"/>
    </row>
    <row r="54" spans="2:16" ht="34.9" customHeight="1" thickBot="1" x14ac:dyDescent="0.3">
      <c r="B54" s="465"/>
      <c r="C54" s="1062" t="str">
        <f>IFERROR('ID_Identificação do projeto'!C20,"")</f>
        <v>AA</v>
      </c>
      <c r="D54" s="1046" t="s">
        <v>3</v>
      </c>
      <c r="E54" s="1048" t="s">
        <v>756</v>
      </c>
      <c r="F54" s="1045" t="s">
        <v>757</v>
      </c>
      <c r="G54" s="1048" t="s">
        <v>756</v>
      </c>
      <c r="H54" s="1045" t="s">
        <v>757</v>
      </c>
      <c r="I54" s="1048" t="s">
        <v>756</v>
      </c>
      <c r="J54" s="1045" t="s">
        <v>757</v>
      </c>
      <c r="K54" s="1048" t="s">
        <v>756</v>
      </c>
      <c r="L54" s="1045" t="s">
        <v>757</v>
      </c>
      <c r="M54" s="1047" t="s">
        <v>756</v>
      </c>
      <c r="N54" s="1045" t="s">
        <v>757</v>
      </c>
      <c r="O54" s="481"/>
    </row>
    <row r="55" spans="2:16" ht="49.9" customHeight="1" thickBot="1" x14ac:dyDescent="0.3">
      <c r="B55" s="465"/>
      <c r="C55" s="1063" t="s">
        <v>1145</v>
      </c>
      <c r="D55" s="1061" t="s">
        <v>1133</v>
      </c>
      <c r="E55" s="1060">
        <f t="shared" ref="E55:J55" si="13">IFERROR(SUM(E56:E60),"")</f>
        <v>0</v>
      </c>
      <c r="F55" s="1060">
        <f t="shared" si="13"/>
        <v>0</v>
      </c>
      <c r="G55" s="1060">
        <f t="shared" si="13"/>
        <v>0</v>
      </c>
      <c r="H55" s="1060">
        <f t="shared" si="13"/>
        <v>0</v>
      </c>
      <c r="I55" s="1060">
        <f t="shared" si="13"/>
        <v>0</v>
      </c>
      <c r="J55" s="1060">
        <f t="shared" si="13"/>
        <v>0</v>
      </c>
      <c r="K55" s="1060" t="str">
        <f>IFERROR((I55/G55)*100,"")</f>
        <v/>
      </c>
      <c r="L55" s="1060" t="str">
        <f>IFERROR((J55/H55)*100,"")</f>
        <v/>
      </c>
      <c r="M55" s="1060">
        <f>IFERROR(SUM(M56:M60),"")</f>
        <v>0</v>
      </c>
      <c r="N55" s="1060">
        <f>IFERROR(SUM(N56:N60),"")</f>
        <v>0</v>
      </c>
      <c r="O55" s="481"/>
    </row>
    <row r="56" spans="2:16" ht="49.9" customHeight="1" thickBot="1" x14ac:dyDescent="0.3">
      <c r="B56" s="465"/>
      <c r="C56" s="1043" t="s">
        <v>553</v>
      </c>
      <c r="D56" s="1057" t="s">
        <v>1133</v>
      </c>
      <c r="E56" s="1049" t="str">
        <f>IFERROR(E46*$C$54,"")</f>
        <v/>
      </c>
      <c r="F56" s="1020" t="str">
        <f t="shared" ref="F56:N56" si="14">IFERROR(F46*$C$54,"")</f>
        <v/>
      </c>
      <c r="G56" s="1049" t="str">
        <f t="shared" si="14"/>
        <v/>
      </c>
      <c r="H56" s="1020" t="str">
        <f t="shared" si="14"/>
        <v/>
      </c>
      <c r="I56" s="1049" t="str">
        <f t="shared" si="14"/>
        <v/>
      </c>
      <c r="J56" s="1020" t="str">
        <f t="shared" si="14"/>
        <v/>
      </c>
      <c r="K56" s="1049" t="str">
        <f t="shared" si="14"/>
        <v/>
      </c>
      <c r="L56" s="1020" t="str">
        <f t="shared" si="14"/>
        <v/>
      </c>
      <c r="M56" s="1019" t="str">
        <f t="shared" si="14"/>
        <v/>
      </c>
      <c r="N56" s="1020" t="str">
        <f t="shared" si="14"/>
        <v/>
      </c>
      <c r="O56" s="481"/>
    </row>
    <row r="57" spans="2:16" ht="49.9" customHeight="1" thickBot="1" x14ac:dyDescent="0.3">
      <c r="B57" s="465"/>
      <c r="C57" s="1043" t="s">
        <v>554</v>
      </c>
      <c r="D57" s="1057" t="s">
        <v>1133</v>
      </c>
      <c r="E57" s="1049" t="str">
        <f t="shared" ref="E57:N57" si="15">IFERROR(E47*$C$54,"")</f>
        <v/>
      </c>
      <c r="F57" s="1020" t="str">
        <f t="shared" si="15"/>
        <v/>
      </c>
      <c r="G57" s="1049" t="str">
        <f t="shared" si="15"/>
        <v/>
      </c>
      <c r="H57" s="1020" t="str">
        <f t="shared" si="15"/>
        <v/>
      </c>
      <c r="I57" s="1049" t="str">
        <f t="shared" si="15"/>
        <v/>
      </c>
      <c r="J57" s="1020" t="str">
        <f t="shared" si="15"/>
        <v/>
      </c>
      <c r="K57" s="1049" t="str">
        <f t="shared" si="15"/>
        <v/>
      </c>
      <c r="L57" s="1020" t="str">
        <f t="shared" si="15"/>
        <v/>
      </c>
      <c r="M57" s="1019" t="str">
        <f t="shared" si="15"/>
        <v/>
      </c>
      <c r="N57" s="1020" t="str">
        <f t="shared" si="15"/>
        <v/>
      </c>
      <c r="O57" s="481"/>
    </row>
    <row r="58" spans="2:16" ht="49.9" customHeight="1" thickBot="1" x14ac:dyDescent="0.3">
      <c r="B58" s="465"/>
      <c r="C58" s="1043" t="s">
        <v>555</v>
      </c>
      <c r="D58" s="1057" t="s">
        <v>1133</v>
      </c>
      <c r="E58" s="1049" t="str">
        <f t="shared" ref="E58:N58" si="16">IFERROR(E48*$C$54,"")</f>
        <v/>
      </c>
      <c r="F58" s="1020" t="str">
        <f t="shared" si="16"/>
        <v/>
      </c>
      <c r="G58" s="1049" t="str">
        <f t="shared" si="16"/>
        <v/>
      </c>
      <c r="H58" s="1020" t="str">
        <f t="shared" si="16"/>
        <v/>
      </c>
      <c r="I58" s="1049" t="str">
        <f t="shared" si="16"/>
        <v/>
      </c>
      <c r="J58" s="1020" t="str">
        <f t="shared" si="16"/>
        <v/>
      </c>
      <c r="K58" s="1049" t="str">
        <f t="shared" si="16"/>
        <v/>
      </c>
      <c r="L58" s="1020" t="str">
        <f t="shared" si="16"/>
        <v/>
      </c>
      <c r="M58" s="1019" t="str">
        <f t="shared" si="16"/>
        <v/>
      </c>
      <c r="N58" s="1020" t="str">
        <f t="shared" si="16"/>
        <v/>
      </c>
      <c r="O58" s="481"/>
    </row>
    <row r="59" spans="2:16" ht="49.9" customHeight="1" thickBot="1" x14ac:dyDescent="0.3">
      <c r="B59" s="465"/>
      <c r="C59" s="1043" t="s">
        <v>556</v>
      </c>
      <c r="D59" s="1057" t="s">
        <v>1133</v>
      </c>
      <c r="E59" s="1049" t="str">
        <f t="shared" ref="E59:N59" si="17">IFERROR(E49*$C$54,"")</f>
        <v/>
      </c>
      <c r="F59" s="1020" t="str">
        <f t="shared" si="17"/>
        <v/>
      </c>
      <c r="G59" s="1049" t="str">
        <f t="shared" si="17"/>
        <v/>
      </c>
      <c r="H59" s="1020" t="str">
        <f t="shared" si="17"/>
        <v/>
      </c>
      <c r="I59" s="1049" t="str">
        <f t="shared" si="17"/>
        <v/>
      </c>
      <c r="J59" s="1020" t="str">
        <f t="shared" si="17"/>
        <v/>
      </c>
      <c r="K59" s="1049" t="str">
        <f t="shared" si="17"/>
        <v/>
      </c>
      <c r="L59" s="1020" t="str">
        <f t="shared" si="17"/>
        <v/>
      </c>
      <c r="M59" s="1019" t="str">
        <f t="shared" si="17"/>
        <v/>
      </c>
      <c r="N59" s="1020" t="str">
        <f t="shared" si="17"/>
        <v/>
      </c>
      <c r="O59" s="481"/>
    </row>
    <row r="60" spans="2:16" ht="49.9" customHeight="1" thickBot="1" x14ac:dyDescent="0.3">
      <c r="B60" s="465"/>
      <c r="C60" s="1043" t="s">
        <v>794</v>
      </c>
      <c r="D60" s="1057" t="s">
        <v>1133</v>
      </c>
      <c r="E60" s="1049" t="str">
        <f t="shared" ref="E60:N60" si="18">IFERROR(E50*$C$54,"")</f>
        <v/>
      </c>
      <c r="F60" s="1020" t="str">
        <f t="shared" si="18"/>
        <v/>
      </c>
      <c r="G60" s="1049" t="str">
        <f t="shared" si="18"/>
        <v/>
      </c>
      <c r="H60" s="1020" t="str">
        <f t="shared" si="18"/>
        <v/>
      </c>
      <c r="I60" s="1049" t="str">
        <f t="shared" si="18"/>
        <v/>
      </c>
      <c r="J60" s="1020" t="str">
        <f t="shared" si="18"/>
        <v/>
      </c>
      <c r="K60" s="1049" t="str">
        <f t="shared" si="18"/>
        <v/>
      </c>
      <c r="L60" s="1020" t="str">
        <f t="shared" si="18"/>
        <v/>
      </c>
      <c r="M60" s="1019" t="str">
        <f t="shared" si="18"/>
        <v/>
      </c>
      <c r="N60" s="1020" t="str">
        <f t="shared" si="18"/>
        <v/>
      </c>
      <c r="O60" s="481"/>
    </row>
    <row r="61" spans="2:16" ht="15" customHeight="1" x14ac:dyDescent="0.25">
      <c r="B61" s="1054"/>
      <c r="C61" s="1055"/>
      <c r="D61" s="1055"/>
      <c r="E61" s="1055"/>
      <c r="F61" s="1055"/>
      <c r="G61" s="1055"/>
      <c r="H61" s="1055"/>
      <c r="I61" s="1055"/>
      <c r="J61" s="1055"/>
      <c r="K61" s="1055"/>
      <c r="L61" s="1055"/>
      <c r="M61" s="1055"/>
      <c r="N61" s="1055"/>
      <c r="O61" s="1056"/>
    </row>
  </sheetData>
  <sheetProtection algorithmName="SHA-512" hashValue="ktmr8bmfmNrr6xu2REQos8tsITm0/uo9RGd53nUSBxUTmF17ylg+5wktgQGMKLnUdKR+MlWVaoyLfs68DG4dAQ==" saltValue="6frgwdtJozTDhkU7/E9Opw==" spinCount="100000" sheet="1" objects="1" scenarios="1" selectLockedCells="1" selectUnlockedCells="1"/>
  <sortState xmlns:xlrd2="http://schemas.microsoft.com/office/spreadsheetml/2017/richdata2" ref="O44">
    <sortCondition ref="O43:O44"/>
  </sortState>
  <mergeCells count="41">
    <mergeCell ref="C53:D53"/>
    <mergeCell ref="C31:C32"/>
    <mergeCell ref="C33:C34"/>
    <mergeCell ref="C35:C36"/>
    <mergeCell ref="C37:C38"/>
    <mergeCell ref="E53:F53"/>
    <mergeCell ref="G53:H53"/>
    <mergeCell ref="I53:J53"/>
    <mergeCell ref="K53:L53"/>
    <mergeCell ref="M53:N53"/>
    <mergeCell ref="B4:J4"/>
    <mergeCell ref="B5:C6"/>
    <mergeCell ref="C15:C16"/>
    <mergeCell ref="D5:J5"/>
    <mergeCell ref="D6:J6"/>
    <mergeCell ref="D7:J7"/>
    <mergeCell ref="D8:J8"/>
    <mergeCell ref="B11:M11"/>
    <mergeCell ref="E13:F13"/>
    <mergeCell ref="G13:H13"/>
    <mergeCell ref="I13:J13"/>
    <mergeCell ref="K13:L13"/>
    <mergeCell ref="D9:J9"/>
    <mergeCell ref="B7:C9"/>
    <mergeCell ref="M13:N13"/>
    <mergeCell ref="M43:N43"/>
    <mergeCell ref="B41:O41"/>
    <mergeCell ref="B22:M22"/>
    <mergeCell ref="E25:F25"/>
    <mergeCell ref="G25:H25"/>
    <mergeCell ref="I25:J25"/>
    <mergeCell ref="K25:L25"/>
    <mergeCell ref="M25:N25"/>
    <mergeCell ref="E43:F43"/>
    <mergeCell ref="G43:H43"/>
    <mergeCell ref="I43:J43"/>
    <mergeCell ref="K43:L43"/>
    <mergeCell ref="C27:C28"/>
    <mergeCell ref="C25:D25"/>
    <mergeCell ref="C29:C30"/>
    <mergeCell ref="C43:C44"/>
  </mergeCells>
  <pageMargins left="0.7" right="0.7" top="0.75" bottom="0.75" header="0.3" footer="0.3"/>
  <ignoredErrors>
    <ignoredError sqref="E31:J31 M32:N32 E33:J33 E35:G35 E37:J37 M31:N31 E34:J34 M34:N34 E36:J36 M36:N36 E38:J38 M38:N38 M33:N33 M35:N35 M37:N37 K37:L37 K35:L35 K33:L33 L31 K31 L32 I35 M30:N30" formula="1"/>
  </ignoredErrors>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0" id="{1C7864AC-0CF6-489D-9948-4E7D33A16EE3}">
            <xm:f>IF('IC_todos os projetos'!$E$33,TRUE,"")</xm:f>
            <x14:dxf>
              <fill>
                <patternFill>
                  <bgColor theme="0"/>
                </patternFill>
              </fill>
            </x14:dxf>
          </x14:cfRule>
          <xm:sqref>E29:N30</xm:sqref>
        </x14:conditionalFormatting>
        <x14:conditionalFormatting xmlns:xm="http://schemas.microsoft.com/office/excel/2006/main">
          <x14:cfRule type="expression" priority="9" id="{3540AFB1-CE36-4493-98F5-7EA03B71673D}">
            <xm:f>IF('IC_todos os projetos'!$E$62,TRUE,"")</xm:f>
            <x14:dxf>
              <fill>
                <patternFill>
                  <bgColor theme="0"/>
                </patternFill>
              </fill>
            </x14:dxf>
          </x14:cfRule>
          <xm:sqref>E31:N32</xm:sqref>
        </x14:conditionalFormatting>
        <x14:conditionalFormatting xmlns:xm="http://schemas.microsoft.com/office/excel/2006/main">
          <x14:cfRule type="expression" priority="8" id="{CE9F90E3-12E9-4BF8-8556-B423E2E89FE2}">
            <xm:f>IF('IC_todos os projetos'!$E$89,TRUE,"")</xm:f>
            <x14:dxf>
              <fill>
                <patternFill>
                  <bgColor theme="0"/>
                </patternFill>
              </fill>
            </x14:dxf>
          </x14:cfRule>
          <xm:sqref>E33:N34</xm:sqref>
        </x14:conditionalFormatting>
        <x14:conditionalFormatting xmlns:xm="http://schemas.microsoft.com/office/excel/2006/main">
          <x14:cfRule type="expression" priority="7" id="{D7EA584B-520D-425B-9269-85D9D8DFBF1E}">
            <xm:f>IF('IC_todos os projetos'!$E$106,TRUE,"")</xm:f>
            <x14:dxf>
              <fill>
                <patternFill>
                  <bgColor theme="0"/>
                </patternFill>
              </fill>
            </x14:dxf>
          </x14:cfRule>
          <xm:sqref>E35:N36</xm:sqref>
        </x14:conditionalFormatting>
        <x14:conditionalFormatting xmlns:xm="http://schemas.microsoft.com/office/excel/2006/main">
          <x14:cfRule type="expression" priority="6" id="{39E19965-0C2C-4421-B8FC-B5882B3A1157}">
            <xm:f>IF('IC_todos os projetos'!$E$131,TRUE,"")</xm:f>
            <x14:dxf>
              <fill>
                <patternFill>
                  <bgColor theme="0"/>
                </patternFill>
              </fill>
            </x14:dxf>
          </x14:cfRule>
          <xm:sqref>E37:N38</xm:sqref>
        </x14:conditionalFormatting>
        <x14:conditionalFormatting xmlns:xm="http://schemas.microsoft.com/office/excel/2006/main">
          <x14:cfRule type="expression" priority="5" id="{0FDFA1E8-14B1-470B-BB0C-FDC1BCF23980}">
            <xm:f>IF('TM1_micromobilidade '!$E$158,TRUE,"")</xm:f>
            <x14:dxf>
              <fill>
                <patternFill>
                  <bgColor theme="0"/>
                </patternFill>
              </fill>
            </x14:dxf>
          </x14:cfRule>
          <xm:sqref>E46:N46</xm:sqref>
        </x14:conditionalFormatting>
        <x14:conditionalFormatting xmlns:xm="http://schemas.microsoft.com/office/excel/2006/main">
          <x14:cfRule type="expression" priority="4" id="{5ECF317E-5C8D-4635-9059-BD3F90A2239E}">
            <xm:f>IF(TM2_rodovia!$E$123,TRUE,"")</xm:f>
            <x14:dxf>
              <fill>
                <patternFill>
                  <bgColor theme="0"/>
                </patternFill>
              </fill>
            </x14:dxf>
          </x14:cfRule>
          <xm:sqref>E47:N47</xm:sqref>
        </x14:conditionalFormatting>
        <x14:conditionalFormatting xmlns:xm="http://schemas.microsoft.com/office/excel/2006/main">
          <x14:cfRule type="expression" priority="3" id="{B4570AC4-4719-41A1-914D-48379B0AEB17}">
            <xm:f>IF('TM3_ferrovia e metro'!$E$129,TRUE,"")</xm:f>
            <x14:dxf>
              <fill>
                <patternFill>
                  <bgColor theme="0"/>
                </patternFill>
              </fill>
            </x14:dxf>
          </x14:cfRule>
          <xm:sqref>E48:N48</xm:sqref>
        </x14:conditionalFormatting>
        <x14:conditionalFormatting xmlns:xm="http://schemas.microsoft.com/office/excel/2006/main">
          <x14:cfRule type="expression" priority="2" id="{8194715E-59CA-4B73-B155-685FAC4627CC}">
            <xm:f>IF('TM4_vias navegáveis interiores'!$E$79,TRUE,"")</xm:f>
            <x14:dxf>
              <fill>
                <patternFill>
                  <bgColor theme="0"/>
                </patternFill>
              </fill>
            </x14:dxf>
          </x14:cfRule>
          <xm:sqref>E49:N49</xm:sqref>
        </x14:conditionalFormatting>
        <x14:conditionalFormatting xmlns:xm="http://schemas.microsoft.com/office/excel/2006/main">
          <x14:cfRule type="expression" priority="1" id="{F44CCD01-BFFA-4DDF-A3C0-258C91DF4395}">
            <xm:f>IF('TM5_parques de estacionamento'!$E$142,TRUE,"")</xm:f>
            <x14:dxf>
              <fill>
                <patternFill>
                  <bgColor theme="0"/>
                </patternFill>
              </fill>
            </x14:dxf>
          </x14:cfRule>
          <xm:sqref>E50:N50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C77F-6384-4F3B-8DEB-F10107BC1E15}">
  <sheetPr codeName="Sheet5">
    <tabColor rgb="FF58D4CC"/>
  </sheetPr>
  <dimension ref="A1:Z61"/>
  <sheetViews>
    <sheetView showGridLines="0" topLeftCell="A14" zoomScale="70" zoomScaleNormal="70" workbookViewId="0">
      <selection activeCell="D41" sqref="D41"/>
    </sheetView>
  </sheetViews>
  <sheetFormatPr defaultColWidth="0" defaultRowHeight="15.75" zeroHeight="1" x14ac:dyDescent="0.25"/>
  <cols>
    <col min="1" max="3" width="8.7109375" style="5" customWidth="1"/>
    <col min="4" max="4" width="42.85546875" style="5" customWidth="1"/>
    <col min="5" max="5" width="19.140625" style="5" customWidth="1"/>
    <col min="6" max="6" width="16.28515625" style="5" customWidth="1"/>
    <col min="7" max="7" width="31.7109375" style="5" customWidth="1"/>
    <col min="8" max="26" width="8.7109375" style="5" customWidth="1"/>
    <col min="27" max="16384" width="8.7109375" style="5" hidden="1"/>
  </cols>
  <sheetData>
    <row r="1" spans="2:20" x14ac:dyDescent="0.25"/>
    <row r="2" spans="2:20" x14ac:dyDescent="0.25"/>
    <row r="3" spans="2:20" x14ac:dyDescent="0.25"/>
    <row r="4" spans="2:20" x14ac:dyDescent="0.25"/>
    <row r="5" spans="2:20" x14ac:dyDescent="0.25"/>
    <row r="6" spans="2:20" x14ac:dyDescent="0.25">
      <c r="E6" s="1267" t="e">
        <f>IF(#REF!="", "", IF(#REF!="Não", "Não necessita de preencher esta folha", "Folha a ser preenchida"))</f>
        <v>#REF!</v>
      </c>
      <c r="F6" s="1267"/>
      <c r="G6" s="1267"/>
      <c r="H6" s="1267"/>
      <c r="I6" s="1267"/>
      <c r="J6" s="1267"/>
      <c r="K6" s="1267"/>
      <c r="L6" s="1267"/>
      <c r="M6" s="1267"/>
      <c r="N6" s="1267"/>
      <c r="O6" s="1267"/>
    </row>
    <row r="7" spans="2:20" x14ac:dyDescent="0.25">
      <c r="E7" s="1267"/>
      <c r="F7" s="1267"/>
      <c r="G7" s="1267"/>
      <c r="H7" s="1267"/>
      <c r="I7" s="1267"/>
      <c r="J7" s="1267"/>
      <c r="K7" s="1267"/>
      <c r="L7" s="1267"/>
      <c r="M7" s="1267"/>
      <c r="N7" s="1267"/>
      <c r="O7" s="1267"/>
      <c r="P7" s="15"/>
      <c r="Q7" s="15"/>
    </row>
    <row r="8" spans="2:20" x14ac:dyDescent="0.25"/>
    <row r="9" spans="2:20" x14ac:dyDescent="0.25"/>
    <row r="10" spans="2:20" x14ac:dyDescent="0.25"/>
    <row r="11" spans="2:20" ht="18.75" x14ac:dyDescent="0.25">
      <c r="B11" s="27" t="s">
        <v>82</v>
      </c>
      <c r="C11" s="28"/>
      <c r="D11" s="7"/>
    </row>
    <row r="12" spans="2:20" x14ac:dyDescent="0.25">
      <c r="B12" s="7"/>
      <c r="C12" s="28"/>
      <c r="D12" s="7"/>
    </row>
    <row r="13" spans="2:20" ht="18.75" x14ac:dyDescent="0.3">
      <c r="B13" s="36" t="s">
        <v>0</v>
      </c>
      <c r="C13" s="8"/>
      <c r="D13" s="8"/>
      <c r="E13" s="6"/>
      <c r="F13" s="6"/>
      <c r="G13" s="6"/>
      <c r="H13" s="6"/>
      <c r="I13" s="6"/>
      <c r="J13" s="6"/>
      <c r="K13" s="6"/>
      <c r="L13" s="6"/>
      <c r="M13" s="6"/>
      <c r="N13" s="6"/>
      <c r="O13" s="6"/>
      <c r="P13" s="6"/>
      <c r="Q13" s="6"/>
      <c r="R13" s="6"/>
      <c r="S13" s="6"/>
      <c r="T13" s="6"/>
    </row>
    <row r="14" spans="2:20" ht="32.450000000000003" customHeight="1" x14ac:dyDescent="0.25">
      <c r="B14" s="1266" t="s">
        <v>90</v>
      </c>
      <c r="C14" s="1266"/>
      <c r="D14" s="1266"/>
      <c r="E14" s="1266"/>
      <c r="F14" s="1266"/>
      <c r="G14" s="1266"/>
      <c r="H14" s="1266"/>
      <c r="I14" s="1266"/>
      <c r="J14" s="1266"/>
      <c r="K14" s="1266"/>
      <c r="L14" s="1266"/>
      <c r="M14" s="1266"/>
      <c r="N14" s="1266"/>
      <c r="O14" s="1266"/>
      <c r="P14" s="1266"/>
      <c r="Q14" s="1266"/>
      <c r="R14" s="1266"/>
      <c r="S14" s="1266"/>
      <c r="T14" s="1266"/>
    </row>
    <row r="15" spans="2:20" x14ac:dyDescent="0.25">
      <c r="B15" s="16" t="s">
        <v>91</v>
      </c>
      <c r="C15" s="30"/>
      <c r="D15" s="30"/>
      <c r="E15" s="37"/>
      <c r="F15" s="37"/>
      <c r="G15" s="37"/>
      <c r="H15" s="37"/>
      <c r="I15" s="37"/>
      <c r="J15" s="37"/>
      <c r="K15" s="37"/>
      <c r="L15" s="37"/>
      <c r="M15" s="37"/>
      <c r="N15" s="37"/>
      <c r="O15" s="37"/>
      <c r="P15" s="37"/>
      <c r="Q15" s="37"/>
      <c r="R15" s="37"/>
      <c r="S15" s="37"/>
      <c r="T15" s="37"/>
    </row>
    <row r="16" spans="2:20" x14ac:dyDescent="0.25">
      <c r="B16" s="17" t="s">
        <v>79</v>
      </c>
      <c r="C16" s="30"/>
      <c r="D16" s="30"/>
      <c r="E16" s="37"/>
      <c r="F16" s="37"/>
      <c r="G16" s="37"/>
      <c r="H16" s="37"/>
      <c r="I16" s="37"/>
      <c r="J16" s="37"/>
      <c r="K16" s="37"/>
      <c r="L16" s="37"/>
      <c r="M16" s="37"/>
      <c r="N16" s="37"/>
      <c r="O16" s="37"/>
      <c r="P16" s="37"/>
      <c r="Q16" s="37"/>
      <c r="R16" s="37"/>
      <c r="S16" s="37"/>
      <c r="T16" s="37"/>
    </row>
    <row r="17" spans="2:20" ht="19.899999999999999" customHeight="1" x14ac:dyDescent="0.25">
      <c r="B17" s="16" t="s">
        <v>80</v>
      </c>
      <c r="C17" s="38"/>
      <c r="D17" s="38"/>
      <c r="E17" s="37"/>
      <c r="F17" s="37"/>
      <c r="G17" s="37"/>
      <c r="H17" s="37"/>
      <c r="I17" s="37"/>
      <c r="J17" s="37"/>
      <c r="K17" s="37"/>
      <c r="L17" s="37"/>
      <c r="M17" s="37"/>
      <c r="N17" s="37"/>
      <c r="O17" s="37"/>
      <c r="P17" s="37"/>
      <c r="Q17" s="37"/>
      <c r="R17" s="37"/>
      <c r="S17" s="37"/>
      <c r="T17" s="37"/>
    </row>
    <row r="18" spans="2:20" x14ac:dyDescent="0.25">
      <c r="B18" s="31"/>
      <c r="C18" s="7"/>
      <c r="D18" s="7"/>
    </row>
    <row r="19" spans="2:20" x14ac:dyDescent="0.25">
      <c r="B19" s="32"/>
      <c r="C19" s="7"/>
      <c r="D19" s="7"/>
    </row>
    <row r="20" spans="2:20" ht="16.5" thickBot="1" x14ac:dyDescent="0.3">
      <c r="B20" s="9"/>
      <c r="C20" s="7"/>
      <c r="D20" s="7"/>
    </row>
    <row r="21" spans="2:20" ht="16.5" thickBot="1" x14ac:dyDescent="0.3">
      <c r="B21" s="29"/>
      <c r="C21" s="33"/>
      <c r="D21" s="33" t="s">
        <v>17</v>
      </c>
      <c r="E21" s="1268"/>
      <c r="F21" s="1269"/>
      <c r="G21" s="1269"/>
      <c r="H21" s="1269"/>
      <c r="I21" s="1269"/>
      <c r="J21" s="1269"/>
      <c r="K21" s="1269"/>
      <c r="L21" s="1269"/>
      <c r="M21" s="1269"/>
      <c r="N21" s="1269"/>
      <c r="O21" s="1269"/>
      <c r="P21" s="1270"/>
    </row>
    <row r="22" spans="2:20" ht="16.5" thickBot="1" x14ac:dyDescent="0.3">
      <c r="D22" s="14" t="s">
        <v>1</v>
      </c>
      <c r="E22" s="1268"/>
      <c r="F22" s="1269"/>
      <c r="G22" s="1269"/>
      <c r="H22" s="1269"/>
      <c r="I22" s="1269"/>
      <c r="J22" s="1269"/>
      <c r="K22" s="1269"/>
      <c r="L22" s="1269"/>
      <c r="M22" s="1269"/>
      <c r="N22" s="1269"/>
      <c r="O22" s="1269"/>
      <c r="P22" s="1270"/>
    </row>
    <row r="23" spans="2:20" ht="16.5" thickBot="1" x14ac:dyDescent="0.3">
      <c r="D23" s="14" t="s">
        <v>92</v>
      </c>
      <c r="E23" s="1268"/>
      <c r="F23" s="1269"/>
      <c r="G23" s="1269"/>
      <c r="H23" s="1269"/>
      <c r="I23" s="1269"/>
      <c r="J23" s="1269"/>
      <c r="K23" s="1269"/>
      <c r="L23" s="1269"/>
      <c r="M23" s="1269"/>
      <c r="N23" s="1269"/>
      <c r="O23" s="1269"/>
      <c r="P23" s="1270"/>
    </row>
    <row r="24" spans="2:20" x14ac:dyDescent="0.25">
      <c r="B24" s="34"/>
      <c r="C24" s="7"/>
      <c r="D24" s="14"/>
      <c r="E24" s="18"/>
      <c r="F24" s="18"/>
      <c r="G24" s="18"/>
      <c r="H24" s="18"/>
      <c r="I24" s="18"/>
      <c r="J24" s="18"/>
      <c r="K24" s="18"/>
      <c r="L24" s="18"/>
      <c r="M24" s="18"/>
      <c r="N24" s="18"/>
      <c r="O24" s="18"/>
      <c r="P24" s="18"/>
    </row>
    <row r="25" spans="2:20" x14ac:dyDescent="0.25">
      <c r="B25" s="34"/>
      <c r="C25" s="7"/>
      <c r="D25" s="14"/>
      <c r="E25" s="18"/>
      <c r="F25" s="18"/>
      <c r="G25" s="18"/>
      <c r="H25" s="18"/>
      <c r="I25" s="18"/>
      <c r="J25" s="18"/>
      <c r="K25" s="18"/>
      <c r="L25" s="18"/>
      <c r="M25" s="18"/>
      <c r="N25" s="18"/>
      <c r="O25" s="18"/>
      <c r="P25" s="18"/>
    </row>
    <row r="26" spans="2:20" ht="18.75" x14ac:dyDescent="0.3">
      <c r="D26" s="24" t="s">
        <v>88</v>
      </c>
      <c r="E26" s="7"/>
    </row>
    <row r="27" spans="2:20" x14ac:dyDescent="0.25">
      <c r="B27" s="34"/>
      <c r="C27" s="7"/>
      <c r="D27" s="25" t="e">
        <f>"Os projetos são divididos em 3 fases: "&amp;'Fatores de Emissão'!#REF!&amp;", "&amp;'Fatores de Emissão'!#REF!&amp;" e "&amp;'Fatores de Emissão'!#REF!&amp;"."</f>
        <v>#REF!</v>
      </c>
      <c r="E27" s="6"/>
      <c r="F27" s="25"/>
      <c r="G27" s="25"/>
      <c r="H27" s="25"/>
      <c r="I27" s="25"/>
      <c r="J27" s="25"/>
      <c r="K27" s="25"/>
      <c r="L27" s="25"/>
      <c r="M27" s="25"/>
      <c r="N27" s="25"/>
      <c r="O27" s="35"/>
      <c r="P27" s="35"/>
      <c r="Q27" s="6"/>
      <c r="R27" s="6"/>
      <c r="S27" s="6"/>
      <c r="T27" s="6"/>
    </row>
    <row r="28" spans="2:20" x14ac:dyDescent="0.25">
      <c r="B28" s="34"/>
      <c r="C28" s="7"/>
      <c r="D28" s="25" t="s">
        <v>19</v>
      </c>
      <c r="E28" s="6"/>
      <c r="F28" s="25"/>
      <c r="G28" s="25"/>
      <c r="H28" s="25"/>
      <c r="I28" s="25"/>
      <c r="J28" s="25"/>
      <c r="K28" s="25"/>
      <c r="L28" s="25"/>
      <c r="M28" s="25"/>
      <c r="N28" s="25"/>
      <c r="O28" s="35"/>
      <c r="P28" s="35"/>
      <c r="Q28" s="6"/>
      <c r="R28" s="6"/>
      <c r="S28" s="6"/>
      <c r="T28" s="6"/>
    </row>
    <row r="29" spans="2:20" ht="18" customHeight="1" x14ac:dyDescent="0.25">
      <c r="B29" s="34"/>
      <c r="C29" s="7"/>
      <c r="D29" s="1265" t="s">
        <v>103</v>
      </c>
      <c r="E29" s="1265"/>
      <c r="F29" s="1265"/>
      <c r="G29" s="1265"/>
      <c r="H29" s="1265"/>
      <c r="I29" s="1265"/>
      <c r="J29" s="1265"/>
      <c r="K29" s="1265"/>
      <c r="L29" s="1265"/>
      <c r="M29" s="1265"/>
      <c r="N29" s="1265"/>
      <c r="O29" s="1265"/>
      <c r="P29" s="1265"/>
      <c r="Q29" s="1265"/>
      <c r="R29" s="1265"/>
      <c r="S29" s="1265"/>
      <c r="T29" s="1265"/>
    </row>
    <row r="30" spans="2:20" ht="66" customHeight="1" x14ac:dyDescent="0.25">
      <c r="B30" s="34"/>
      <c r="C30" s="7"/>
      <c r="D30" s="1265" t="s">
        <v>105</v>
      </c>
      <c r="E30" s="1265"/>
      <c r="F30" s="1265"/>
      <c r="G30" s="1265"/>
      <c r="H30" s="1265"/>
      <c r="I30" s="1265"/>
      <c r="J30" s="1265"/>
      <c r="K30" s="1265"/>
      <c r="L30" s="1265"/>
      <c r="M30" s="1265"/>
      <c r="N30" s="1265"/>
      <c r="O30" s="1265"/>
      <c r="P30" s="1265"/>
      <c r="Q30" s="1265"/>
      <c r="R30" s="1265"/>
      <c r="S30" s="1265"/>
      <c r="T30" s="1265"/>
    </row>
    <row r="31" spans="2:20" x14ac:dyDescent="0.25">
      <c r="B31" s="34"/>
      <c r="C31" s="7"/>
      <c r="K31" s="18"/>
      <c r="L31" s="18"/>
      <c r="M31" s="18"/>
      <c r="N31" s="18"/>
      <c r="O31" s="18"/>
      <c r="P31" s="18"/>
    </row>
    <row r="32" spans="2:20" ht="60.6" customHeight="1" x14ac:dyDescent="0.25">
      <c r="B32" s="34"/>
      <c r="C32" s="7"/>
      <c r="E32" s="21" t="s">
        <v>78</v>
      </c>
      <c r="F32" s="23" t="s">
        <v>87</v>
      </c>
      <c r="G32" s="23" t="s">
        <v>106</v>
      </c>
      <c r="K32" s="18"/>
      <c r="L32" s="18"/>
      <c r="M32" s="18"/>
      <c r="N32" s="18"/>
      <c r="O32" s="18"/>
      <c r="P32" s="22"/>
    </row>
    <row r="33" spans="4:16" x14ac:dyDescent="0.25">
      <c r="D33" s="12" t="e">
        <f>'Fatores de Emissão'!#REF!</f>
        <v>#REF!</v>
      </c>
      <c r="E33" s="39"/>
      <c r="F33" s="39"/>
      <c r="G33" s="40"/>
      <c r="P33" s="22"/>
    </row>
    <row r="34" spans="4:16" x14ac:dyDescent="0.25">
      <c r="D34" s="13" t="s">
        <v>4</v>
      </c>
      <c r="E34" s="39"/>
      <c r="F34" s="39"/>
      <c r="G34" s="40"/>
      <c r="P34" s="22"/>
    </row>
    <row r="35" spans="4:16" x14ac:dyDescent="0.25">
      <c r="D35" s="10" t="s">
        <v>18</v>
      </c>
      <c r="E35" s="39"/>
      <c r="F35" s="39"/>
      <c r="G35" s="40"/>
    </row>
    <row r="36" spans="4:16" x14ac:dyDescent="0.25">
      <c r="F36" s="5" t="e">
        <f>"(a) Se não souber, deixe por preencher. A ferramenta considerará "&amp;'Fatores de Emissão'!#REF!&amp;" anos, "&amp;'Fatores de Emissão'!#REF!&amp;" anos e "&amp;'Fatores de Emissão'!#REF!&amp;" ano, respetivamente."</f>
        <v>#REF!</v>
      </c>
    </row>
    <row r="37" spans="4:16" x14ac:dyDescent="0.25"/>
    <row r="38" spans="4:16" x14ac:dyDescent="0.25"/>
    <row r="39" spans="4:16" x14ac:dyDescent="0.25"/>
    <row r="40" spans="4:16" x14ac:dyDescent="0.25"/>
    <row r="41" spans="4:16" x14ac:dyDescent="0.25"/>
    <row r="42" spans="4:16" x14ac:dyDescent="0.25"/>
    <row r="43" spans="4:16" ht="29.45" customHeight="1" x14ac:dyDescent="0.25"/>
    <row r="44" spans="4:16" x14ac:dyDescent="0.25"/>
    <row r="45" spans="4:16" x14ac:dyDescent="0.25"/>
    <row r="46" spans="4:16" x14ac:dyDescent="0.25"/>
    <row r="47" spans="4:16" x14ac:dyDescent="0.25"/>
    <row r="48" spans="4:16" x14ac:dyDescent="0.25"/>
    <row r="49" x14ac:dyDescent="0.25"/>
    <row r="50" x14ac:dyDescent="0.25"/>
    <row r="51" x14ac:dyDescent="0.25"/>
    <row r="52" x14ac:dyDescent="0.25"/>
    <row r="53" x14ac:dyDescent="0.25"/>
    <row r="54" x14ac:dyDescent="0.25"/>
    <row r="57" x14ac:dyDescent="0.25"/>
    <row r="58" x14ac:dyDescent="0.25"/>
    <row r="59" x14ac:dyDescent="0.25"/>
    <row r="60" x14ac:dyDescent="0.25"/>
    <row r="61" x14ac:dyDescent="0.25"/>
  </sheetData>
  <sheetProtection selectLockedCells="1"/>
  <protectedRanges>
    <protectedRange sqref="E33:G35" name="DG2"/>
    <protectedRange sqref="E21:P23" name="DG1"/>
  </protectedRanges>
  <mergeCells count="7">
    <mergeCell ref="D30:T30"/>
    <mergeCell ref="B14:T14"/>
    <mergeCell ref="E6:O7"/>
    <mergeCell ref="D29:T29"/>
    <mergeCell ref="E21:P21"/>
    <mergeCell ref="E22:P22"/>
    <mergeCell ref="E23:P23"/>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79F39-19C6-4D03-8FA2-107077D7B76C}">
  <sheetPr codeName="Sheet20">
    <tabColor rgb="FFFFD757"/>
  </sheetPr>
  <dimension ref="A2:R20"/>
  <sheetViews>
    <sheetView showGridLines="0" zoomScale="65" zoomScaleNormal="65" workbookViewId="0"/>
  </sheetViews>
  <sheetFormatPr defaultColWidth="8.85546875" defaultRowHeight="15" x14ac:dyDescent="0.25"/>
  <cols>
    <col min="1" max="1" width="3.7109375" style="1115" customWidth="1"/>
    <col min="2" max="2" width="5.7109375" style="1115" customWidth="1"/>
    <col min="3" max="3" width="8.85546875" style="1115"/>
    <col min="4" max="4" width="37.85546875" style="1115" customWidth="1"/>
    <col min="5" max="5" width="40.7109375" style="1115" customWidth="1"/>
    <col min="6" max="10" width="8.85546875" style="1115"/>
    <col min="11" max="11" width="57.140625" style="1115" customWidth="1"/>
    <col min="12" max="12" width="28" style="1115" customWidth="1"/>
    <col min="13" max="16384" width="8.85546875" style="1115"/>
  </cols>
  <sheetData>
    <row r="2" spans="1:18" s="401" customFormat="1" ht="70.150000000000006" customHeight="1" x14ac:dyDescent="0.25">
      <c r="A2" s="297"/>
      <c r="B2" s="399"/>
      <c r="C2" s="400" t="s">
        <v>445</v>
      </c>
      <c r="D2" s="399"/>
      <c r="E2" s="399"/>
      <c r="F2" s="399"/>
      <c r="G2" s="399"/>
      <c r="H2" s="399"/>
      <c r="I2" s="399"/>
      <c r="J2" s="399"/>
      <c r="K2" s="399"/>
      <c r="L2" s="399"/>
      <c r="M2" s="399"/>
      <c r="N2" s="399"/>
    </row>
    <row r="3" spans="1:18" ht="15.75" thickBot="1" x14ac:dyDescent="0.3"/>
    <row r="4" spans="1:18" ht="21" customHeight="1" x14ac:dyDescent="0.25">
      <c r="C4" s="1604" t="s">
        <v>1313</v>
      </c>
      <c r="D4" s="1605"/>
      <c r="E4" s="1606"/>
      <c r="F4" s="1116"/>
      <c r="G4" s="1116"/>
      <c r="H4" s="1116"/>
      <c r="I4" s="1116"/>
      <c r="J4" s="1116"/>
      <c r="K4" s="1116"/>
      <c r="L4" s="1116"/>
      <c r="M4" s="1116"/>
      <c r="N4" s="1116"/>
      <c r="O4" s="1116"/>
      <c r="P4" s="1116"/>
      <c r="Q4" s="1116"/>
      <c r="R4" s="1116"/>
    </row>
    <row r="5" spans="1:18" ht="53.45" customHeight="1" thickBot="1" x14ac:dyDescent="0.3">
      <c r="C5" s="1607"/>
      <c r="D5" s="1608"/>
      <c r="E5" s="1609"/>
      <c r="F5" s="1116"/>
      <c r="G5" s="1116"/>
      <c r="H5" s="1116"/>
      <c r="I5" s="1116"/>
      <c r="J5" s="1116"/>
      <c r="K5" s="1116"/>
      <c r="L5" s="1116"/>
      <c r="M5" s="1116"/>
      <c r="N5" s="1116"/>
      <c r="O5" s="1116"/>
      <c r="P5" s="1116"/>
      <c r="Q5" s="1116"/>
      <c r="R5" s="1116"/>
    </row>
    <row r="6" spans="1:18" ht="15.75" thickBot="1" x14ac:dyDescent="0.3"/>
    <row r="7" spans="1:18" ht="35.450000000000003" customHeight="1" thickBot="1" x14ac:dyDescent="0.3">
      <c r="C7" s="1618" t="s">
        <v>752</v>
      </c>
      <c r="D7" s="1619"/>
      <c r="E7" s="1622"/>
      <c r="H7" s="1616"/>
      <c r="I7" s="1616"/>
      <c r="J7" s="1616"/>
      <c r="K7" s="1616"/>
      <c r="L7" s="1616"/>
    </row>
    <row r="8" spans="1:18" ht="26.45" customHeight="1" x14ac:dyDescent="0.25">
      <c r="C8" s="1618" t="s">
        <v>615</v>
      </c>
      <c r="D8" s="1619"/>
      <c r="E8" s="1121" t="s">
        <v>86</v>
      </c>
      <c r="H8" s="1617"/>
      <c r="I8" s="1617"/>
      <c r="J8" s="1617"/>
      <c r="K8" s="1617"/>
      <c r="L8" s="1117"/>
    </row>
    <row r="9" spans="1:18" ht="68.45" customHeight="1" x14ac:dyDescent="0.25">
      <c r="C9" s="1612" t="s">
        <v>1075</v>
      </c>
      <c r="D9" s="1613"/>
      <c r="E9" s="1226"/>
      <c r="H9" s="1614"/>
      <c r="I9" s="1614"/>
      <c r="J9" s="1614"/>
      <c r="K9" s="1614"/>
      <c r="L9" s="1118"/>
    </row>
    <row r="10" spans="1:18" ht="61.15" customHeight="1" x14ac:dyDescent="0.25">
      <c r="C10" s="1620" t="s">
        <v>754</v>
      </c>
      <c r="D10" s="1621"/>
      <c r="E10" s="1226"/>
      <c r="H10" s="1614"/>
      <c r="I10" s="1614"/>
      <c r="J10" s="1614"/>
      <c r="K10" s="1614"/>
      <c r="L10" s="1118"/>
    </row>
    <row r="11" spans="1:18" ht="66.599999999999994" customHeight="1" x14ac:dyDescent="0.25">
      <c r="C11" s="1620" t="s">
        <v>753</v>
      </c>
      <c r="D11" s="1621"/>
      <c r="E11" s="1226"/>
      <c r="H11" s="1615"/>
      <c r="I11" s="1615"/>
      <c r="J11" s="1615"/>
      <c r="K11" s="1615"/>
      <c r="L11" s="1119"/>
    </row>
    <row r="12" spans="1:18" ht="51.6" customHeight="1" thickBot="1" x14ac:dyDescent="0.3">
      <c r="C12" s="1610" t="s">
        <v>755</v>
      </c>
      <c r="D12" s="1611"/>
      <c r="E12" s="1227" t="str">
        <f>IFERROR((E10*E9)/E11,"")</f>
        <v/>
      </c>
    </row>
    <row r="15" spans="1:18" ht="84.6" customHeight="1" x14ac:dyDescent="0.25">
      <c r="C15" s="1623"/>
      <c r="D15" s="1623"/>
      <c r="E15" s="1623"/>
      <c r="H15" s="1623"/>
      <c r="I15" s="1623"/>
      <c r="J15" s="1623"/>
      <c r="K15" s="1623"/>
      <c r="L15" s="1623"/>
    </row>
    <row r="16" spans="1:18" ht="60" customHeight="1" x14ac:dyDescent="0.25">
      <c r="C16" s="1614"/>
      <c r="D16" s="1614"/>
      <c r="E16" s="1120"/>
      <c r="H16" s="1625"/>
      <c r="I16" s="1625"/>
      <c r="J16" s="1625"/>
      <c r="K16" s="1625"/>
    </row>
    <row r="17" spans="3:12" ht="60" customHeight="1" x14ac:dyDescent="0.25">
      <c r="C17" s="1614"/>
      <c r="D17" s="1614"/>
      <c r="H17" s="1625"/>
      <c r="I17" s="1625"/>
      <c r="J17" s="1625"/>
      <c r="K17" s="1625"/>
    </row>
    <row r="18" spans="3:12" ht="60" customHeight="1" x14ac:dyDescent="0.25">
      <c r="C18" s="1615"/>
      <c r="D18" s="1615"/>
      <c r="E18" s="1119"/>
      <c r="H18" s="1625"/>
      <c r="I18" s="1625"/>
      <c r="J18" s="1625"/>
      <c r="K18" s="1625"/>
    </row>
    <row r="19" spans="3:12" ht="54" customHeight="1" x14ac:dyDescent="0.25">
      <c r="H19" s="1624"/>
      <c r="I19" s="1624"/>
      <c r="J19" s="1624"/>
      <c r="K19" s="1624"/>
      <c r="L19" s="1119"/>
    </row>
    <row r="20" spans="3:12" ht="68.45" customHeight="1" x14ac:dyDescent="0.25">
      <c r="H20" s="1615"/>
      <c r="I20" s="1615"/>
      <c r="J20" s="1615"/>
      <c r="K20" s="1615"/>
      <c r="L20" s="1119"/>
    </row>
  </sheetData>
  <sheetProtection algorithmName="SHA-512" hashValue="eWdtnbBZ2B7R6J6HsTgiuU1b5rrvotEXjpRwQdoLtHdQuCUE0Q4mJWTO8ETTYm0RbdxT9UWd1s41uAy14YOaIQ==" saltValue="KTBRRiX/G0U8nEHIo4a9+A==" spinCount="100000" sheet="1" objects="1" scenarios="1" selectLockedCells="1"/>
  <mergeCells count="22">
    <mergeCell ref="H19:K19"/>
    <mergeCell ref="H20:K20"/>
    <mergeCell ref="H16:K16"/>
    <mergeCell ref="H17:K17"/>
    <mergeCell ref="H18:K18"/>
    <mergeCell ref="H15:L15"/>
    <mergeCell ref="C15:E15"/>
    <mergeCell ref="C16:D16"/>
    <mergeCell ref="C17:D17"/>
    <mergeCell ref="C18:D18"/>
    <mergeCell ref="C4:E5"/>
    <mergeCell ref="C12:D12"/>
    <mergeCell ref="C9:D9"/>
    <mergeCell ref="H10:K10"/>
    <mergeCell ref="H11:K11"/>
    <mergeCell ref="H7:L7"/>
    <mergeCell ref="H9:K9"/>
    <mergeCell ref="H8:K8"/>
    <mergeCell ref="C8:D8"/>
    <mergeCell ref="C10:D10"/>
    <mergeCell ref="C11:D11"/>
    <mergeCell ref="C7:E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9C721-6592-4652-8DFD-D5249EC2CD87}">
  <sheetPr codeName="Sheet8">
    <tabColor rgb="FFFFD757"/>
  </sheetPr>
  <dimension ref="A2:S28"/>
  <sheetViews>
    <sheetView showGridLines="0" zoomScale="70" zoomScaleNormal="70" workbookViewId="0">
      <pane ySplit="4" topLeftCell="A5" activePane="bottomLeft" state="frozen"/>
      <selection activeCell="D13" sqref="D13"/>
      <selection pane="bottomLeft"/>
    </sheetView>
  </sheetViews>
  <sheetFormatPr defaultRowHeight="15" x14ac:dyDescent="0.25"/>
  <cols>
    <col min="1" max="1" width="3.7109375" customWidth="1"/>
    <col min="2" max="2" width="99.140625" style="42" customWidth="1"/>
    <col min="3" max="3" width="96.85546875" style="910" customWidth="1"/>
    <col min="7" max="7" width="7.7109375" customWidth="1"/>
  </cols>
  <sheetData>
    <row r="2" spans="1:7" s="401" customFormat="1" ht="70.150000000000006" customHeight="1" x14ac:dyDescent="0.25">
      <c r="A2"/>
      <c r="B2" s="400" t="s">
        <v>446</v>
      </c>
      <c r="C2" s="459"/>
      <c r="D2" s="399"/>
    </row>
    <row r="3" spans="1:7" ht="15" customHeight="1" x14ac:dyDescent="0.25">
      <c r="B3" s="56"/>
      <c r="C3" s="996"/>
      <c r="D3" s="297"/>
    </row>
    <row r="4" spans="1:7" ht="40.15" customHeight="1" x14ac:dyDescent="0.25">
      <c r="B4" s="1195" t="s">
        <v>1107</v>
      </c>
      <c r="C4" s="1195" t="s">
        <v>85</v>
      </c>
      <c r="D4" s="297"/>
    </row>
    <row r="5" spans="1:7" x14ac:dyDescent="0.25">
      <c r="C5" s="1626"/>
      <c r="D5" s="1626"/>
      <c r="E5" s="1626"/>
      <c r="F5" s="1626"/>
    </row>
    <row r="6" spans="1:7" s="559" customFormat="1" ht="100.15" customHeight="1" x14ac:dyDescent="0.25">
      <c r="B6" s="558" t="s">
        <v>1088</v>
      </c>
      <c r="C6" s="1222" t="s">
        <v>472</v>
      </c>
    </row>
    <row r="7" spans="1:7" s="559" customFormat="1" ht="100.15" customHeight="1" x14ac:dyDescent="0.25">
      <c r="B7" s="558" t="s">
        <v>1089</v>
      </c>
      <c r="C7" s="1222" t="s">
        <v>472</v>
      </c>
    </row>
    <row r="8" spans="1:7" s="557" customFormat="1" ht="100.15" customHeight="1" x14ac:dyDescent="0.25">
      <c r="B8" s="558" t="s">
        <v>597</v>
      </c>
      <c r="C8" s="1222" t="s">
        <v>472</v>
      </c>
    </row>
    <row r="9" spans="1:7" s="559" customFormat="1" ht="100.15" customHeight="1" x14ac:dyDescent="0.25">
      <c r="B9" s="558" t="s">
        <v>601</v>
      </c>
      <c r="C9" s="1222" t="s">
        <v>472</v>
      </c>
    </row>
    <row r="10" spans="1:7" s="559" customFormat="1" ht="100.15" customHeight="1" x14ac:dyDescent="0.25">
      <c r="B10" s="558" t="s">
        <v>1079</v>
      </c>
      <c r="C10" s="1222" t="s">
        <v>472</v>
      </c>
      <c r="D10" s="558"/>
      <c r="E10" s="558"/>
      <c r="F10" s="558"/>
      <c r="G10" s="558"/>
    </row>
    <row r="11" spans="1:7" s="559" customFormat="1" ht="100.15" customHeight="1" x14ac:dyDescent="0.25">
      <c r="B11" s="558" t="s">
        <v>1087</v>
      </c>
      <c r="C11" s="558" t="s">
        <v>1083</v>
      </c>
      <c r="D11" s="558"/>
      <c r="E11" s="558"/>
      <c r="F11" s="558"/>
      <c r="G11" s="558"/>
    </row>
    <row r="12" spans="1:7" s="559" customFormat="1" ht="100.15" customHeight="1" x14ac:dyDescent="0.25">
      <c r="B12" s="558" t="s">
        <v>599</v>
      </c>
      <c r="C12" s="1222" t="s">
        <v>472</v>
      </c>
    </row>
    <row r="13" spans="1:7" s="559" customFormat="1" ht="100.15" customHeight="1" x14ac:dyDescent="0.25">
      <c r="B13" s="558" t="s">
        <v>1090</v>
      </c>
      <c r="C13" s="559" t="s">
        <v>1083</v>
      </c>
    </row>
    <row r="14" spans="1:7" s="559" customFormat="1" ht="123.6" customHeight="1" x14ac:dyDescent="0.25">
      <c r="B14" s="558" t="s">
        <v>1080</v>
      </c>
      <c r="C14" s="1222" t="s">
        <v>472</v>
      </c>
    </row>
    <row r="15" spans="1:7" s="559" customFormat="1" ht="52.15" customHeight="1" x14ac:dyDescent="0.25">
      <c r="B15" s="909" t="s">
        <v>1084</v>
      </c>
      <c r="C15" s="1223" t="s">
        <v>1085</v>
      </c>
      <c r="D15" s="558"/>
      <c r="E15" s="558"/>
      <c r="F15" s="558"/>
      <c r="G15" s="558"/>
    </row>
    <row r="16" spans="1:7" s="559" customFormat="1" ht="131.44999999999999" customHeight="1" x14ac:dyDescent="0.25">
      <c r="B16" s="909" t="s">
        <v>1076</v>
      </c>
      <c r="C16" s="1224" t="s">
        <v>1353</v>
      </c>
      <c r="D16" s="558"/>
      <c r="E16" s="558"/>
      <c r="F16" s="558"/>
      <c r="G16" s="558"/>
    </row>
    <row r="17" spans="2:19" s="559" customFormat="1" ht="100.15" customHeight="1" x14ac:dyDescent="0.25">
      <c r="B17" s="909" t="s">
        <v>1077</v>
      </c>
      <c r="C17" s="1225" t="s">
        <v>471</v>
      </c>
      <c r="D17" s="558"/>
      <c r="E17" s="558"/>
      <c r="F17" s="558"/>
      <c r="G17" s="558"/>
    </row>
    <row r="18" spans="2:19" s="559" customFormat="1" ht="162.6" customHeight="1" x14ac:dyDescent="0.25">
      <c r="B18" s="558" t="s">
        <v>602</v>
      </c>
      <c r="C18" s="1222" t="s">
        <v>563</v>
      </c>
      <c r="D18" s="558"/>
      <c r="E18" s="558"/>
      <c r="F18" s="558"/>
      <c r="G18" s="558"/>
    </row>
    <row r="19" spans="2:19" s="559" customFormat="1" ht="100.15" customHeight="1" x14ac:dyDescent="0.25">
      <c r="B19" s="558" t="s">
        <v>564</v>
      </c>
      <c r="C19" s="1222" t="s">
        <v>1081</v>
      </c>
      <c r="D19" s="558"/>
      <c r="E19" s="558"/>
      <c r="F19" s="558"/>
      <c r="G19" s="558"/>
    </row>
    <row r="20" spans="2:19" s="559" customFormat="1" ht="100.15" customHeight="1" x14ac:dyDescent="0.25">
      <c r="B20" s="909" t="s">
        <v>596</v>
      </c>
      <c r="C20" s="1225" t="s">
        <v>477</v>
      </c>
    </row>
    <row r="21" spans="2:19" s="559" customFormat="1" ht="100.15" customHeight="1" x14ac:dyDescent="0.25">
      <c r="B21" s="558" t="s">
        <v>598</v>
      </c>
      <c r="C21" s="1222" t="s">
        <v>472</v>
      </c>
    </row>
    <row r="22" spans="2:19" ht="100.15" customHeight="1" x14ac:dyDescent="0.25">
      <c r="B22" s="558" t="s">
        <v>600</v>
      </c>
      <c r="C22" s="1222" t="s">
        <v>472</v>
      </c>
      <c r="D22" s="558"/>
      <c r="E22" s="558"/>
      <c r="F22" s="558"/>
      <c r="G22" s="558"/>
      <c r="H22" s="558"/>
      <c r="I22" s="558"/>
      <c r="J22" s="558"/>
      <c r="K22" s="558"/>
      <c r="L22" s="558"/>
      <c r="M22" s="558"/>
      <c r="N22" s="558"/>
      <c r="O22" s="558"/>
      <c r="P22" s="558"/>
      <c r="Q22" s="558"/>
      <c r="R22" s="558"/>
      <c r="S22" s="558"/>
    </row>
    <row r="23" spans="2:19" ht="78" customHeight="1" x14ac:dyDescent="0.25">
      <c r="B23" s="558" t="s">
        <v>1082</v>
      </c>
      <c r="C23" s="558" t="s">
        <v>1083</v>
      </c>
    </row>
    <row r="24" spans="2:19" ht="100.15" customHeight="1" x14ac:dyDescent="0.25">
      <c r="B24" s="909" t="s">
        <v>1078</v>
      </c>
      <c r="C24" s="559" t="s">
        <v>1083</v>
      </c>
    </row>
    <row r="25" spans="2:19" ht="69.599999999999994" customHeight="1" x14ac:dyDescent="0.25">
      <c r="B25" s="909" t="s">
        <v>1086</v>
      </c>
      <c r="C25" s="1222" t="s">
        <v>471</v>
      </c>
    </row>
    <row r="26" spans="2:19" ht="40.15" customHeight="1" x14ac:dyDescent="0.25"/>
    <row r="27" spans="2:19" ht="40.15" customHeight="1" x14ac:dyDescent="0.25">
      <c r="B27" s="911"/>
    </row>
    <row r="28" spans="2:19" ht="17.45" customHeight="1" x14ac:dyDescent="0.25">
      <c r="B28" s="909"/>
    </row>
  </sheetData>
  <sheetProtection algorithmName="SHA-512" hashValue="v7xnu/AeXKzNFSehM+pceoW+baWs1cgEvP5K6OdkF6yl5MtsF0WnMceHArpP9KgDLdkGikQs4ksYY2On9uZ0Ow==" saltValue="H2zNgIybuF1+W8CPd3tMHA==" spinCount="100000" sheet="1" objects="1" scenarios="1"/>
  <sortState xmlns:xlrd2="http://schemas.microsoft.com/office/spreadsheetml/2017/richdata2" ref="B6:C25">
    <sortCondition ref="B6:B25"/>
  </sortState>
  <mergeCells count="1">
    <mergeCell ref="C5:F5"/>
  </mergeCells>
  <hyperlinks>
    <hyperlink ref="C16" r:id="rId1" display="https://www.amt-autoridade.pt/media/4491/amt05012023_.pdf" xr:uid="{34066B6A-B2DA-403B-B820-3EB6A4D272A1}"/>
    <hyperlink ref="C7" r:id="rId2" display="https://www.eib.org/en/publications/20220215-eib-project-carbon-footprint-methodologies" xr:uid="{F595351F-2A57-4705-985E-57EFDB034F81}"/>
    <hyperlink ref="C8" r:id="rId3" display="https://www.eib.org/en/publications/20220215-eib-project-carbon-footprint-methodologies" xr:uid="{76E906F8-3914-42C1-B265-FE908DAC62D7}"/>
    <hyperlink ref="C21" r:id="rId4" display="https://www.eib.org/en/publications/20220215-eib-project-carbon-footprint-methodologies" xr:uid="{9F1C443C-2C14-4DF6-AA1A-B2E68B396AD4}"/>
    <hyperlink ref="C10" r:id="rId5" display="https://www.eib.org/en/publications/20220215-eib-project-carbon-footprint-methodologies" xr:uid="{02CDE97D-A943-4F15-9CBF-EA4208EF4314}"/>
    <hyperlink ref="C12" r:id="rId6" display="https://www.eib.org/en/publications/20220215-eib-project-carbon-footprint-methodologies" xr:uid="{1A94AA6F-42A9-4291-BD1B-BCEEE73E4A89}"/>
    <hyperlink ref="C22" r:id="rId7" display="https://www.eib.org/en/publications/20220215-eib-project-carbon-footprint-methodologies" xr:uid="{D063830F-1CFF-4C79-BF74-6C6B7ECD2D79}"/>
    <hyperlink ref="C14" r:id="rId8" display="https://www.eib.org/en/publications/20220215-eib-project-carbon-footprint-methodologies" xr:uid="{51001B58-D7A3-48DA-BECF-33839E608CD6}"/>
    <hyperlink ref="C6" r:id="rId9" display="https://www.eib.org/en/publications/20220215-eib-project-carbon-footprint-methodologies" xr:uid="{DC1279DB-C271-479E-B3DC-BDD62520A73B}"/>
    <hyperlink ref="C20" r:id="rId10" display="https://files.sciencebasedtargets.org/production/files/Land-Transport-Guidance.pdf" xr:uid="{38BAF96B-8FC6-4B80-A9FD-0CA9DF51309B}"/>
    <hyperlink ref="C18" r:id="rId11" xr:uid="{041FE976-5531-49FF-869F-3926C1C8B3BE}"/>
    <hyperlink ref="C9" r:id="rId12" display="https://www.eib.org/en/publications/20220215-eib-project-carbon-footprint-methodologies" xr:uid="{F64CA664-AA7D-470E-8FAC-C0C7BEE2DD23}"/>
    <hyperlink ref="C15" r:id="rId13" xr:uid="{6911CA14-4BA9-4D9A-88B2-8B5735C7F112}"/>
    <hyperlink ref="C25" r:id="rId14" xr:uid="{9F82E705-0A1A-4484-B22E-9F0440EBE782}"/>
    <hyperlink ref="C19" r:id="rId15" location="N%C3%ADveis" display="Correspondência entre as NUTS 2013 e as NUTS 2024 ao nível do município" xr:uid="{C49ED903-21B7-4975-AB23-394E8340781C}"/>
  </hyperlinks>
  <pageMargins left="0.7" right="0.7" top="0.75" bottom="0.75" header="0.3" footer="0.3"/>
  <drawing r:id="rId1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1322-37B3-49B7-A5C7-3C6965906C3C}">
  <sheetPr codeName="Sheet28">
    <tabColor rgb="FFFFD757"/>
  </sheetPr>
  <dimension ref="A1:CH111"/>
  <sheetViews>
    <sheetView showGridLines="0" zoomScale="60" zoomScaleNormal="60" workbookViewId="0">
      <pane ySplit="2" topLeftCell="A3" activePane="bottomLeft" state="frozen"/>
      <selection activeCell="D13" sqref="D13"/>
      <selection pane="bottomLeft" activeCell="I6" sqref="I6:I7"/>
    </sheetView>
  </sheetViews>
  <sheetFormatPr defaultColWidth="8.7109375" defaultRowHeight="49.9" customHeight="1" outlineLevelRow="1" x14ac:dyDescent="0.25"/>
  <cols>
    <col min="1" max="1" width="3.7109375" style="5" customWidth="1"/>
    <col min="2" max="2" width="37.5703125" style="5" customWidth="1"/>
    <col min="3" max="3" width="51.5703125" style="19" customWidth="1"/>
    <col min="4" max="4" width="21.28515625" style="5" customWidth="1"/>
    <col min="5" max="5" width="28.7109375" style="5" customWidth="1"/>
    <col min="6" max="6" width="29.7109375" style="5" customWidth="1"/>
    <col min="7" max="7" width="30.140625" style="5" customWidth="1"/>
    <col min="8" max="8" width="28.28515625" style="5" customWidth="1"/>
    <col min="9" max="9" width="87.7109375" style="19" customWidth="1"/>
    <col min="10" max="10" width="35.7109375" style="5" customWidth="1"/>
    <col min="11" max="11" width="94.42578125" style="5" customWidth="1"/>
    <col min="12" max="12" width="24.28515625" style="5" hidden="1" customWidth="1"/>
    <col min="13" max="13" width="27.28515625" style="5" hidden="1" customWidth="1"/>
    <col min="14" max="14" width="25.28515625" style="5" hidden="1" customWidth="1"/>
    <col min="15" max="16" width="27.7109375" style="5" hidden="1" customWidth="1"/>
    <col min="17" max="17" width="36.42578125" style="5" hidden="1" customWidth="1"/>
    <col min="18" max="19" width="34.42578125" style="5" hidden="1" customWidth="1"/>
    <col min="20" max="20" width="11.7109375" style="5" hidden="1" customWidth="1"/>
    <col min="21" max="21" width="35.7109375" style="20" hidden="1" customWidth="1"/>
    <col min="22" max="22" width="15" style="5" hidden="1" customWidth="1"/>
    <col min="23" max="23" width="12.85546875" style="5" hidden="1" customWidth="1"/>
    <col min="24" max="24" width="13.140625" style="5" hidden="1" customWidth="1"/>
    <col min="25" max="25" width="11.42578125" style="5" hidden="1" customWidth="1"/>
    <col min="26" max="26" width="16.28515625" style="5" hidden="1" customWidth="1"/>
    <col min="27" max="27" width="15.85546875" style="5" hidden="1" customWidth="1"/>
    <col min="28" max="28" width="8.7109375" style="5" hidden="1" customWidth="1"/>
    <col min="29" max="29" width="9" style="5" hidden="1" customWidth="1"/>
    <col min="30" max="31" width="8.7109375" style="5" hidden="1" customWidth="1"/>
    <col min="32" max="32" width="24.7109375" style="20" hidden="1" customWidth="1"/>
    <col min="33" max="33" width="18.85546875" style="5" hidden="1" customWidth="1"/>
    <col min="34" max="34" width="14.7109375" style="5" hidden="1" customWidth="1"/>
    <col min="35" max="35" width="8.7109375" style="5" hidden="1" customWidth="1"/>
    <col min="36" max="36" width="9" style="5" hidden="1" customWidth="1"/>
    <col min="37" max="37" width="8.7109375" style="5" hidden="1" customWidth="1"/>
    <col min="38" max="38" width="14.7109375" style="5" hidden="1" customWidth="1"/>
    <col min="39" max="39" width="8.7109375" style="5" hidden="1" customWidth="1"/>
    <col min="40" max="40" width="12.85546875" style="5" hidden="1" customWidth="1"/>
    <col min="41" max="41" width="8.7109375" style="5" hidden="1" customWidth="1"/>
    <col min="42" max="42" width="11" style="5" hidden="1" customWidth="1"/>
    <col min="43" max="43" width="8.7109375" style="5" hidden="1" customWidth="1"/>
    <col min="44" max="44" width="11" style="5" hidden="1" customWidth="1"/>
    <col min="45" max="45" width="8.7109375" style="5" hidden="1" customWidth="1"/>
    <col min="46" max="46" width="11" style="5" hidden="1" customWidth="1"/>
    <col min="47" max="47" width="8.7109375" style="5" hidden="1" customWidth="1"/>
    <col min="48" max="66" width="8.7109375" style="5"/>
    <col min="67" max="67" width="11.7109375" style="5" bestFit="1" customWidth="1"/>
    <col min="68" max="78" width="8.7109375" style="5"/>
    <col min="79" max="79" width="11.7109375" style="5" bestFit="1" customWidth="1"/>
    <col min="80" max="16384" width="8.7109375" style="5"/>
  </cols>
  <sheetData>
    <row r="1" spans="1:34" ht="15" customHeight="1" x14ac:dyDescent="0.25"/>
    <row r="2" spans="1:34" s="401" customFormat="1" ht="70.150000000000006" customHeight="1" x14ac:dyDescent="0.25">
      <c r="A2"/>
      <c r="B2" s="1638" t="s">
        <v>81</v>
      </c>
      <c r="C2" s="1638"/>
      <c r="D2" s="399"/>
      <c r="E2" s="399"/>
      <c r="F2" s="399"/>
      <c r="G2" s="399"/>
      <c r="H2" s="399"/>
      <c r="I2" s="402"/>
      <c r="J2" s="399"/>
      <c r="K2" s="399"/>
      <c r="L2" s="399"/>
      <c r="M2" s="399"/>
      <c r="N2" s="399"/>
      <c r="O2" s="399"/>
      <c r="P2" s="399"/>
      <c r="Q2" s="399"/>
      <c r="R2" s="399"/>
      <c r="S2" s="399"/>
      <c r="T2" s="399"/>
      <c r="U2" s="922"/>
      <c r="V2" s="399"/>
      <c r="AF2" s="923"/>
    </row>
    <row r="3" spans="1:34" customFormat="1" ht="16.899999999999999" customHeight="1" x14ac:dyDescent="0.25">
      <c r="B3" s="289"/>
      <c r="C3" s="289"/>
      <c r="D3" s="297"/>
      <c r="E3" s="297"/>
      <c r="F3" s="297"/>
      <c r="G3" s="297"/>
      <c r="H3" s="297"/>
      <c r="I3" s="915"/>
      <c r="J3" s="297"/>
      <c r="K3" s="297"/>
      <c r="L3" s="297"/>
      <c r="M3" s="297"/>
      <c r="N3" s="297"/>
      <c r="O3" s="297"/>
      <c r="P3" s="297"/>
      <c r="Q3" s="297"/>
      <c r="R3" s="297"/>
      <c r="S3" s="297"/>
      <c r="T3" s="297"/>
      <c r="U3" s="916"/>
      <c r="V3" s="297"/>
      <c r="AF3" s="46"/>
    </row>
    <row r="4" spans="1:34" s="914" customFormat="1" ht="49.9" customHeight="1" outlineLevel="1" x14ac:dyDescent="0.25">
      <c r="A4" s="404"/>
      <c r="B4" s="912" t="s">
        <v>1235</v>
      </c>
      <c r="C4" s="913"/>
      <c r="D4" s="913"/>
      <c r="E4" s="913"/>
      <c r="I4" s="913"/>
      <c r="U4" s="924"/>
      <c r="AF4" s="924"/>
    </row>
    <row r="5" spans="1:34" s="404" customFormat="1" ht="19.899999999999999" customHeight="1" outlineLevel="1" thickBot="1" x14ac:dyDescent="0.3">
      <c r="B5" s="956"/>
      <c r="C5" s="405"/>
      <c r="D5" s="405"/>
      <c r="E5" s="405"/>
      <c r="I5" s="405"/>
      <c r="U5" s="753"/>
      <c r="AF5" s="753"/>
    </row>
    <row r="6" spans="1:34" s="404" customFormat="1" ht="49.9" customHeight="1" outlineLevel="1" x14ac:dyDescent="0.25">
      <c r="B6" s="1650" t="s">
        <v>1091</v>
      </c>
      <c r="C6" s="1667" t="s">
        <v>8</v>
      </c>
      <c r="D6" s="1658" t="s">
        <v>3</v>
      </c>
      <c r="E6" s="1658" t="s">
        <v>1234</v>
      </c>
      <c r="F6" s="1658" t="s">
        <v>191</v>
      </c>
      <c r="G6" s="1658" t="s">
        <v>1097</v>
      </c>
      <c r="H6" s="1658" t="s">
        <v>1095</v>
      </c>
      <c r="I6" s="1669" t="s">
        <v>1096</v>
      </c>
      <c r="J6" s="921"/>
      <c r="K6" s="1671"/>
      <c r="L6" s="1663" t="s">
        <v>7</v>
      </c>
      <c r="M6" s="1663" t="s">
        <v>8</v>
      </c>
      <c r="N6" s="1664" t="s">
        <v>3</v>
      </c>
      <c r="O6" s="1665" t="s">
        <v>245</v>
      </c>
      <c r="P6" s="1664" t="s">
        <v>3</v>
      </c>
      <c r="Q6" s="1670" t="s">
        <v>220</v>
      </c>
      <c r="R6" s="1659" t="s">
        <v>226</v>
      </c>
      <c r="S6" s="1659" t="s">
        <v>111</v>
      </c>
      <c r="T6" s="744"/>
      <c r="U6" s="753"/>
      <c r="V6" s="1627" t="s">
        <v>1266</v>
      </c>
      <c r="W6" s="1629" t="s">
        <v>1246</v>
      </c>
      <c r="X6" s="1629"/>
      <c r="Y6" s="1629"/>
      <c r="Z6" s="1629"/>
      <c r="AA6" s="1630"/>
      <c r="AB6" s="123"/>
      <c r="AC6" s="123"/>
      <c r="AD6" s="1631" t="s">
        <v>1247</v>
      </c>
      <c r="AE6" s="1631" t="s">
        <v>1242</v>
      </c>
      <c r="AF6" s="1631"/>
      <c r="AG6" s="1631"/>
      <c r="AH6" s="1631"/>
    </row>
    <row r="7" spans="1:34" s="404" customFormat="1" ht="27" customHeight="1" outlineLevel="1" x14ac:dyDescent="0.25">
      <c r="B7" s="1651"/>
      <c r="C7" s="1668"/>
      <c r="D7" s="1658"/>
      <c r="E7" s="1658"/>
      <c r="F7" s="1658"/>
      <c r="G7" s="1658"/>
      <c r="H7" s="1658"/>
      <c r="I7" s="1669"/>
      <c r="J7" s="921"/>
      <c r="K7" s="1671"/>
      <c r="L7" s="1663"/>
      <c r="M7" s="1663"/>
      <c r="N7" s="1664"/>
      <c r="O7" s="1666"/>
      <c r="P7" s="1664"/>
      <c r="Q7" s="1670"/>
      <c r="R7" s="1659"/>
      <c r="S7" s="1659"/>
      <c r="U7" s="753"/>
      <c r="V7" s="1628"/>
      <c r="W7" s="1632" t="s">
        <v>1248</v>
      </c>
      <c r="X7" s="1632"/>
      <c r="Y7" s="1632"/>
      <c r="Z7" s="1632"/>
      <c r="AA7" s="1633"/>
      <c r="AB7" s="123"/>
      <c r="AC7" s="123"/>
      <c r="AD7" s="1631"/>
      <c r="AE7" s="1632" t="s">
        <v>1248</v>
      </c>
      <c r="AF7" s="1632"/>
      <c r="AG7" s="1632"/>
      <c r="AH7" s="1632"/>
    </row>
    <row r="8" spans="1:34" s="404" customFormat="1" ht="49.9" customHeight="1" outlineLevel="1" x14ac:dyDescent="0.25">
      <c r="B8" s="959" t="s">
        <v>128</v>
      </c>
      <c r="C8" s="974" t="s">
        <v>127</v>
      </c>
      <c r="D8" s="927" t="s">
        <v>117</v>
      </c>
      <c r="E8" s="985">
        <v>0.107</v>
      </c>
      <c r="F8" s="961" t="s">
        <v>107</v>
      </c>
      <c r="G8" s="961" t="s">
        <v>107</v>
      </c>
      <c r="H8" s="986">
        <v>2023</v>
      </c>
      <c r="I8" s="1130" t="s">
        <v>1233</v>
      </c>
      <c r="J8" s="406"/>
      <c r="K8" s="917"/>
      <c r="L8" s="407" t="s">
        <v>218</v>
      </c>
      <c r="M8" s="408" t="s">
        <v>222</v>
      </c>
      <c r="N8" s="408" t="s">
        <v>219</v>
      </c>
      <c r="O8" s="409"/>
      <c r="P8" s="408" t="s">
        <v>219</v>
      </c>
      <c r="Q8" s="408">
        <f>3080.9*1000000</f>
        <v>3080900000</v>
      </c>
      <c r="R8" s="410">
        <v>2023</v>
      </c>
      <c r="S8" s="89" t="s">
        <v>108</v>
      </c>
      <c r="U8" s="753"/>
      <c r="V8" s="1628"/>
      <c r="W8" s="1632">
        <v>2024</v>
      </c>
      <c r="X8" s="1632"/>
      <c r="Y8" s="1632"/>
      <c r="Z8" s="1632"/>
      <c r="AA8" s="1633"/>
      <c r="AB8" s="123"/>
      <c r="AC8" s="123"/>
      <c r="AD8" s="1631"/>
      <c r="AE8" s="1632">
        <v>2024</v>
      </c>
      <c r="AF8" s="1632"/>
      <c r="AG8" s="1632"/>
      <c r="AH8" s="1632"/>
    </row>
    <row r="9" spans="1:34" s="404" customFormat="1" ht="49.9" customHeight="1" outlineLevel="1" x14ac:dyDescent="0.25">
      <c r="B9" s="1684" t="s">
        <v>1323</v>
      </c>
      <c r="C9" s="1065" t="s">
        <v>1324</v>
      </c>
      <c r="D9" s="928" t="s">
        <v>120</v>
      </c>
      <c r="E9" s="985">
        <f>(F9*E8)</f>
        <v>1.3839724576271188E-2</v>
      </c>
      <c r="F9" s="976">
        <f>((0.03663/0.177)/1.6)</f>
        <v>0.12934322033898307</v>
      </c>
      <c r="G9" s="969">
        <f>(((42.8+58.8+37.8)/1000)/1.6)</f>
        <v>8.712499999999998E-2</v>
      </c>
      <c r="H9" s="986" t="s">
        <v>1336</v>
      </c>
      <c r="I9" s="1260" t="s">
        <v>214</v>
      </c>
      <c r="J9" s="411"/>
      <c r="K9" s="917"/>
      <c r="L9" s="1660" t="s">
        <v>223</v>
      </c>
      <c r="M9" s="412" t="s">
        <v>224</v>
      </c>
      <c r="N9" s="412" t="s">
        <v>149</v>
      </c>
      <c r="O9" s="413"/>
      <c r="P9" s="412" t="s">
        <v>149</v>
      </c>
      <c r="Q9" s="412">
        <v>1791.2</v>
      </c>
      <c r="R9" s="414">
        <v>2023</v>
      </c>
      <c r="S9" s="89" t="s">
        <v>108</v>
      </c>
      <c r="U9" s="753"/>
      <c r="V9" s="1628"/>
      <c r="W9" s="1632" t="s">
        <v>918</v>
      </c>
      <c r="X9" s="1632"/>
      <c r="Y9" s="1632"/>
      <c r="Z9" s="1632"/>
      <c r="AA9" s="1633"/>
      <c r="AB9" s="123"/>
      <c r="AC9" s="123"/>
      <c r="AD9" s="1631"/>
      <c r="AE9" s="1632" t="s">
        <v>918</v>
      </c>
      <c r="AF9" s="1632"/>
      <c r="AG9" s="1632"/>
      <c r="AH9" s="1632"/>
    </row>
    <row r="10" spans="1:34" s="404" customFormat="1" ht="49.9" customHeight="1" outlineLevel="1" x14ac:dyDescent="0.25">
      <c r="B10" s="1684"/>
      <c r="C10" s="1065" t="s">
        <v>1325</v>
      </c>
      <c r="D10" s="928" t="s">
        <v>120</v>
      </c>
      <c r="E10" s="985">
        <f>(F10*E8)</f>
        <v>4.4243290960451981E-3</v>
      </c>
      <c r="F10" s="976">
        <f>((0.01171/0.177)/1.6)</f>
        <v>4.1348870056497178E-2</v>
      </c>
      <c r="G10" s="969">
        <f>(((57.2+16.3)/1000)/1.6)</f>
        <v>4.5937499999999992E-2</v>
      </c>
      <c r="H10" s="986" t="s">
        <v>1336</v>
      </c>
      <c r="I10" s="1260" t="s">
        <v>214</v>
      </c>
      <c r="J10" s="411"/>
      <c r="K10" s="917"/>
      <c r="L10" s="1661"/>
      <c r="M10" s="412" t="s">
        <v>225</v>
      </c>
      <c r="N10" s="412" t="s">
        <v>149</v>
      </c>
      <c r="O10" s="413"/>
      <c r="P10" s="412" t="s">
        <v>149</v>
      </c>
      <c r="Q10" s="412">
        <v>735</v>
      </c>
      <c r="R10" s="414">
        <v>2023</v>
      </c>
      <c r="S10" s="89" t="s">
        <v>108</v>
      </c>
      <c r="U10" s="753"/>
      <c r="V10" s="1628"/>
      <c r="W10" s="1135" t="s">
        <v>5</v>
      </c>
      <c r="X10" s="1135" t="s">
        <v>221</v>
      </c>
      <c r="Y10" s="1135" t="s">
        <v>1249</v>
      </c>
      <c r="Z10" s="1135" t="s">
        <v>1243</v>
      </c>
      <c r="AA10" s="1136" t="s">
        <v>1244</v>
      </c>
      <c r="AB10" s="123"/>
      <c r="AC10" s="123"/>
      <c r="AD10" s="1631"/>
      <c r="AE10" s="1135" t="s">
        <v>5</v>
      </c>
      <c r="AF10" s="1135" t="s">
        <v>221</v>
      </c>
      <c r="AG10" s="1135" t="s">
        <v>1243</v>
      </c>
      <c r="AH10" s="1135" t="s">
        <v>1244</v>
      </c>
    </row>
    <row r="11" spans="1:34" s="404" customFormat="1" ht="49.9" customHeight="1" outlineLevel="1" x14ac:dyDescent="0.25">
      <c r="B11" s="1684" t="s">
        <v>131</v>
      </c>
      <c r="C11" s="1065" t="s">
        <v>1326</v>
      </c>
      <c r="D11" s="928" t="s">
        <v>120</v>
      </c>
      <c r="E11" s="985">
        <f>(F11*E8)</f>
        <v>3.10086E-3</v>
      </c>
      <c r="F11" s="958">
        <v>2.8979999999999999E-2</v>
      </c>
      <c r="G11" s="969">
        <f>((1241.5*0.76)/1000)</f>
        <v>0.94353999999999993</v>
      </c>
      <c r="H11" s="926">
        <v>2024</v>
      </c>
      <c r="I11" s="1122" t="s">
        <v>1092</v>
      </c>
      <c r="J11" s="411"/>
      <c r="K11" s="917"/>
      <c r="L11" s="1662"/>
      <c r="M11" s="412" t="s">
        <v>5</v>
      </c>
      <c r="N11" s="412" t="s">
        <v>149</v>
      </c>
      <c r="O11" s="412"/>
      <c r="P11" s="412" t="s">
        <v>149</v>
      </c>
      <c r="Q11" s="412">
        <v>2527.1</v>
      </c>
      <c r="R11" s="414">
        <v>2023</v>
      </c>
      <c r="S11" s="89" t="s">
        <v>108</v>
      </c>
      <c r="U11" s="753"/>
      <c r="V11" s="1628"/>
      <c r="W11" s="1135" t="s">
        <v>1250</v>
      </c>
      <c r="X11" s="1135" t="s">
        <v>1250</v>
      </c>
      <c r="Y11" s="1135" t="s">
        <v>1250</v>
      </c>
      <c r="Z11" s="1135" t="s">
        <v>1251</v>
      </c>
      <c r="AA11" s="1136" t="s">
        <v>1251</v>
      </c>
      <c r="AB11" s="123"/>
      <c r="AC11" s="123"/>
      <c r="AD11" s="1631"/>
      <c r="AE11" s="1135" t="s">
        <v>1251</v>
      </c>
      <c r="AF11" s="1135" t="s">
        <v>1251</v>
      </c>
      <c r="AG11" s="1135" t="s">
        <v>1251</v>
      </c>
      <c r="AH11" s="1135" t="s">
        <v>1251</v>
      </c>
    </row>
    <row r="12" spans="1:34" s="404" customFormat="1" ht="49.9" customHeight="1" outlineLevel="1" x14ac:dyDescent="0.25">
      <c r="B12" s="1684"/>
      <c r="C12" s="1065" t="s">
        <v>1327</v>
      </c>
      <c r="D12" s="928" t="s">
        <v>120</v>
      </c>
      <c r="E12" s="985">
        <f>(F12*E8)</f>
        <v>3.10086E-3</v>
      </c>
      <c r="F12" s="958">
        <v>2.8979999999999999E-2</v>
      </c>
      <c r="G12" s="969">
        <f>(26/1000)</f>
        <v>2.5999999999999999E-2</v>
      </c>
      <c r="H12" s="926">
        <v>2024</v>
      </c>
      <c r="I12" s="1122" t="s">
        <v>1092</v>
      </c>
      <c r="J12" s="411"/>
      <c r="K12" s="917"/>
      <c r="L12" s="415"/>
      <c r="M12" s="412"/>
      <c r="N12" s="412"/>
      <c r="O12" s="412"/>
      <c r="P12" s="412"/>
      <c r="Q12" s="412"/>
      <c r="R12" s="414"/>
      <c r="S12" s="89"/>
      <c r="U12" s="753"/>
      <c r="V12" s="1137" t="s">
        <v>1245</v>
      </c>
      <c r="W12" s="1138" t="s">
        <v>152</v>
      </c>
      <c r="X12" s="1138" t="s">
        <v>152</v>
      </c>
      <c r="Y12" s="1138" t="s">
        <v>152</v>
      </c>
      <c r="Z12" s="1138" t="s">
        <v>1252</v>
      </c>
      <c r="AA12" s="1139" t="s">
        <v>1253</v>
      </c>
      <c r="AB12" s="123"/>
      <c r="AC12" s="123"/>
      <c r="AD12" s="1140" t="s">
        <v>1245</v>
      </c>
      <c r="AE12" s="1138" t="s">
        <v>152</v>
      </c>
      <c r="AF12" s="1138" t="s">
        <v>152</v>
      </c>
      <c r="AG12" s="1138" t="s">
        <v>1254</v>
      </c>
      <c r="AH12" s="1138" t="s">
        <v>1255</v>
      </c>
    </row>
    <row r="13" spans="1:34" s="404" customFormat="1" ht="49.9" customHeight="1" outlineLevel="1" x14ac:dyDescent="0.25">
      <c r="B13" s="1684"/>
      <c r="C13" s="1065" t="s">
        <v>1328</v>
      </c>
      <c r="D13" s="928" t="s">
        <v>120</v>
      </c>
      <c r="E13" s="985">
        <f>(F13*E8)</f>
        <v>4.3977E-3</v>
      </c>
      <c r="F13" s="958">
        <v>4.1099999999999998E-2</v>
      </c>
      <c r="G13" s="969">
        <v>0.01</v>
      </c>
      <c r="H13" s="926">
        <v>2025</v>
      </c>
      <c r="I13" s="1260" t="s">
        <v>215</v>
      </c>
      <c r="J13" s="416"/>
      <c r="K13" s="439"/>
      <c r="L13" s="417" t="s">
        <v>248</v>
      </c>
      <c r="M13" s="418" t="s">
        <v>125</v>
      </c>
      <c r="N13" s="418" t="s">
        <v>115</v>
      </c>
      <c r="O13" s="419" t="e">
        <f>Q13/#REF!</f>
        <v>#REF!</v>
      </c>
      <c r="P13" s="412" t="s">
        <v>115</v>
      </c>
      <c r="Q13" s="412">
        <v>3213105</v>
      </c>
      <c r="R13" s="414">
        <v>2023</v>
      </c>
      <c r="S13" s="89" t="s">
        <v>108</v>
      </c>
      <c r="U13" s="753"/>
      <c r="V13" s="1141" t="s">
        <v>527</v>
      </c>
      <c r="W13" s="1142" t="s">
        <v>1256</v>
      </c>
      <c r="X13" s="1142" t="s">
        <v>1257</v>
      </c>
      <c r="Y13" s="1142" t="s">
        <v>1258</v>
      </c>
      <c r="Z13" s="1143">
        <f>22655.3*1000</f>
        <v>22655300</v>
      </c>
      <c r="AA13" s="1144">
        <f>5361.5*1000</f>
        <v>5361500</v>
      </c>
      <c r="AB13" s="123"/>
      <c r="AC13" s="123"/>
      <c r="AD13" s="1145" t="s">
        <v>527</v>
      </c>
      <c r="AE13" s="1142" t="s">
        <v>1259</v>
      </c>
      <c r="AF13" s="1142" t="s">
        <v>1260</v>
      </c>
      <c r="AG13" s="1143">
        <v>519368.5</v>
      </c>
      <c r="AH13" s="1143">
        <v>17328</v>
      </c>
    </row>
    <row r="14" spans="1:34" s="404" customFormat="1" ht="49.9" customHeight="1" outlineLevel="1" x14ac:dyDescent="0.25">
      <c r="B14" s="959" t="s">
        <v>132</v>
      </c>
      <c r="C14" s="1065" t="s">
        <v>1329</v>
      </c>
      <c r="D14" s="928" t="s">
        <v>120</v>
      </c>
      <c r="E14" s="987">
        <f>(0.053*E8)</f>
        <v>5.6709999999999998E-3</v>
      </c>
      <c r="F14" s="958">
        <f>0.0531</f>
        <v>5.3100000000000001E-2</v>
      </c>
      <c r="G14" s="969">
        <f>(37/1000)</f>
        <v>3.6999999999999998E-2</v>
      </c>
      <c r="H14" s="926">
        <v>2024</v>
      </c>
      <c r="I14" s="1122" t="s">
        <v>1092</v>
      </c>
      <c r="J14" s="411"/>
      <c r="K14" s="917"/>
      <c r="L14" s="420"/>
      <c r="M14" s="418" t="s">
        <v>227</v>
      </c>
      <c r="N14" s="418" t="s">
        <v>115</v>
      </c>
      <c r="O14" s="419" t="e">
        <f>Q14/#REF!</f>
        <v>#REF!</v>
      </c>
      <c r="P14" s="412" t="s">
        <v>115</v>
      </c>
      <c r="Q14" s="412">
        <v>2213914</v>
      </c>
      <c r="R14" s="414">
        <v>2023</v>
      </c>
      <c r="S14" s="89" t="s">
        <v>108</v>
      </c>
      <c r="U14" s="753"/>
      <c r="V14" s="1146" t="s">
        <v>516</v>
      </c>
      <c r="W14" s="1138" t="s">
        <v>152</v>
      </c>
      <c r="X14" s="1138" t="s">
        <v>152</v>
      </c>
      <c r="Y14" s="1138" t="s">
        <v>152</v>
      </c>
      <c r="Z14" s="1138">
        <v>387.8</v>
      </c>
      <c r="AA14" s="1139" t="s">
        <v>152</v>
      </c>
      <c r="AB14" s="123"/>
      <c r="AC14" s="123"/>
      <c r="AD14" s="1634" t="s">
        <v>1261</v>
      </c>
      <c r="AE14" s="1634"/>
      <c r="AF14" s="1634"/>
      <c r="AG14" s="1634"/>
      <c r="AH14" s="1634"/>
    </row>
    <row r="15" spans="1:34" s="404" customFormat="1" ht="49.9" customHeight="1" outlineLevel="1" x14ac:dyDescent="0.25">
      <c r="B15" s="1643" t="s">
        <v>129</v>
      </c>
      <c r="C15" s="1640" t="s">
        <v>1330</v>
      </c>
      <c r="D15" s="927" t="s">
        <v>250</v>
      </c>
      <c r="E15" s="988">
        <f>(E8*F15)</f>
        <v>7.5408249999999996E-2</v>
      </c>
      <c r="F15" s="958">
        <f>(281.9/400)</f>
        <v>0.70474999999999999</v>
      </c>
      <c r="G15" s="958">
        <f>(210/1000)</f>
        <v>0.21</v>
      </c>
      <c r="H15" s="986" t="s">
        <v>1336</v>
      </c>
      <c r="I15" s="929" t="s">
        <v>274</v>
      </c>
      <c r="J15" s="411"/>
      <c r="K15" s="917"/>
      <c r="L15" s="421"/>
      <c r="M15" s="418"/>
      <c r="N15" s="418"/>
      <c r="O15" s="419"/>
      <c r="P15" s="412"/>
      <c r="Q15" s="412"/>
      <c r="R15" s="414"/>
      <c r="S15" s="89"/>
      <c r="U15" s="753"/>
      <c r="V15" s="1141" t="s">
        <v>517</v>
      </c>
      <c r="W15" s="1142" t="s">
        <v>152</v>
      </c>
      <c r="X15" s="1142" t="s">
        <v>152</v>
      </c>
      <c r="Y15" s="1142" t="s">
        <v>152</v>
      </c>
      <c r="Z15" s="1142" t="s">
        <v>152</v>
      </c>
      <c r="AA15" s="1147" t="s">
        <v>152</v>
      </c>
      <c r="AB15" s="123"/>
      <c r="AC15" s="123"/>
      <c r="AD15" s="123"/>
      <c r="AE15" s="123"/>
      <c r="AF15" s="123"/>
      <c r="AG15" s="123"/>
      <c r="AH15" s="123"/>
    </row>
    <row r="16" spans="1:34" s="404" customFormat="1" ht="49.9" customHeight="1" outlineLevel="1" thickBot="1" x14ac:dyDescent="0.3">
      <c r="B16" s="1644"/>
      <c r="C16" s="1640"/>
      <c r="D16" s="927" t="s">
        <v>122</v>
      </c>
      <c r="E16" s="988">
        <f>(40*0.17)</f>
        <v>6.8000000000000007</v>
      </c>
      <c r="F16" s="958">
        <f>E16</f>
        <v>6.8000000000000007</v>
      </c>
      <c r="G16" s="982">
        <f>E16</f>
        <v>6.8000000000000007</v>
      </c>
      <c r="H16" s="926">
        <v>2023</v>
      </c>
      <c r="I16" s="929" t="s">
        <v>931</v>
      </c>
      <c r="J16" s="411"/>
      <c r="K16" s="917"/>
      <c r="L16" s="421"/>
      <c r="M16" s="418"/>
      <c r="N16" s="418"/>
      <c r="O16" s="419"/>
      <c r="P16" s="412"/>
      <c r="Q16" s="412"/>
      <c r="R16" s="414"/>
      <c r="S16" s="89"/>
      <c r="U16" s="753"/>
      <c r="V16" s="1635" t="s">
        <v>1262</v>
      </c>
      <c r="W16" s="1636"/>
      <c r="X16" s="1636"/>
      <c r="Y16" s="1636"/>
      <c r="Z16" s="1636"/>
      <c r="AA16" s="1637"/>
      <c r="AB16" s="123"/>
      <c r="AC16" s="123"/>
      <c r="AD16" s="123"/>
      <c r="AE16" s="123"/>
      <c r="AF16" s="123"/>
      <c r="AG16" s="123"/>
      <c r="AH16" s="123"/>
    </row>
    <row r="17" spans="2:34" s="404" customFormat="1" ht="49.9" customHeight="1" outlineLevel="1" x14ac:dyDescent="0.25">
      <c r="B17" s="1644"/>
      <c r="C17" s="1640"/>
      <c r="D17" s="928" t="s">
        <v>120</v>
      </c>
      <c r="E17" s="987">
        <f>(E15/E16)</f>
        <v>1.1089448529411763E-2</v>
      </c>
      <c r="F17" s="969">
        <f>F15/F16</f>
        <v>0.10363970588235293</v>
      </c>
      <c r="G17" s="989">
        <f>(G15/G16)</f>
        <v>3.0882352941176465E-2</v>
      </c>
      <c r="H17" s="926">
        <v>2025</v>
      </c>
      <c r="I17" s="929" t="s">
        <v>214</v>
      </c>
      <c r="J17" s="411"/>
      <c r="K17" s="917"/>
      <c r="L17" s="421"/>
      <c r="M17" s="418"/>
      <c r="N17" s="418"/>
      <c r="O17" s="419"/>
      <c r="P17" s="412"/>
      <c r="Q17" s="412"/>
      <c r="R17" s="414"/>
      <c r="S17" s="89"/>
      <c r="U17" s="753"/>
      <c r="V17" s="123"/>
      <c r="W17" s="123"/>
      <c r="X17" s="123"/>
      <c r="Y17" s="123"/>
      <c r="Z17" s="123"/>
      <c r="AA17" s="123"/>
      <c r="AB17" s="123"/>
      <c r="AC17" s="123"/>
      <c r="AD17" s="123"/>
      <c r="AE17" s="123"/>
      <c r="AF17" s="123"/>
      <c r="AG17" s="123"/>
      <c r="AH17" s="123"/>
    </row>
    <row r="18" spans="2:34" s="404" customFormat="1" ht="49.9" customHeight="1" outlineLevel="1" x14ac:dyDescent="0.25">
      <c r="B18" s="1644"/>
      <c r="C18" s="1640"/>
      <c r="D18" s="927" t="s">
        <v>934</v>
      </c>
      <c r="E18" s="988">
        <f>(E15/(40*0.2))</f>
        <v>9.4260312499999995E-3</v>
      </c>
      <c r="F18" s="1067">
        <f>(F15/(60*0.39))</f>
        <v>3.0117521367521365E-2</v>
      </c>
      <c r="G18" s="982">
        <f>(G15/(40*0.2))</f>
        <v>2.6249999999999999E-2</v>
      </c>
      <c r="H18" s="926">
        <v>2025</v>
      </c>
      <c r="I18" s="929" t="s">
        <v>932</v>
      </c>
      <c r="J18" s="411"/>
      <c r="K18" s="917"/>
      <c r="L18" s="421"/>
      <c r="M18" s="418"/>
      <c r="N18" s="418"/>
      <c r="O18" s="419"/>
      <c r="P18" s="412"/>
      <c r="Q18" s="412"/>
      <c r="R18" s="414"/>
      <c r="S18" s="89"/>
      <c r="U18" s="753"/>
      <c r="V18" s="1148" t="s">
        <v>1263</v>
      </c>
      <c r="W18" s="123"/>
      <c r="X18" s="123"/>
      <c r="Y18" s="123"/>
      <c r="Z18" s="123"/>
      <c r="AA18" s="123"/>
      <c r="AB18" s="123"/>
      <c r="AC18" s="123"/>
      <c r="AD18" s="123"/>
      <c r="AE18" s="123"/>
      <c r="AF18" s="123"/>
      <c r="AG18" s="123"/>
      <c r="AH18" s="123"/>
    </row>
    <row r="19" spans="2:34" s="404" customFormat="1" ht="49.9" customHeight="1" outlineLevel="1" x14ac:dyDescent="0.25">
      <c r="B19" s="1644"/>
      <c r="C19" s="1640"/>
      <c r="D19" s="927" t="s">
        <v>935</v>
      </c>
      <c r="E19" s="988">
        <f>(E15/(40*0.33))</f>
        <v>5.7127462121212115E-3</v>
      </c>
      <c r="F19" s="1067">
        <f>(F15/(60*0.33))</f>
        <v>3.5593434343434344E-2</v>
      </c>
      <c r="G19" s="982">
        <f>(G15/(40*0.33))</f>
        <v>1.5909090909090907E-2</v>
      </c>
      <c r="H19" s="926">
        <v>2025</v>
      </c>
      <c r="I19" s="929" t="s">
        <v>933</v>
      </c>
      <c r="J19" s="422"/>
      <c r="K19" s="737"/>
      <c r="L19" s="423"/>
      <c r="M19" s="418" t="s">
        <v>230</v>
      </c>
      <c r="N19" s="418" t="s">
        <v>115</v>
      </c>
      <c r="O19" s="419" t="e">
        <f>Q19/#REF!</f>
        <v>#REF!</v>
      </c>
      <c r="P19" s="412" t="s">
        <v>115</v>
      </c>
      <c r="Q19" s="412">
        <v>75505</v>
      </c>
      <c r="R19" s="412"/>
      <c r="S19" s="414"/>
      <c r="U19" s="753"/>
      <c r="V19" s="123"/>
      <c r="W19" s="123"/>
      <c r="X19" s="123"/>
      <c r="Y19" s="123"/>
      <c r="Z19" s="123"/>
      <c r="AA19" s="123"/>
      <c r="AB19" s="123"/>
      <c r="AC19" s="123"/>
      <c r="AD19" s="123"/>
      <c r="AE19" s="123"/>
      <c r="AF19" s="123"/>
      <c r="AG19" s="123"/>
      <c r="AH19" s="123"/>
    </row>
    <row r="20" spans="2:34" s="404" customFormat="1" ht="49.9" customHeight="1" outlineLevel="1" x14ac:dyDescent="0.25">
      <c r="B20" s="1644"/>
      <c r="C20" s="1640" t="s">
        <v>1331</v>
      </c>
      <c r="D20" s="927" t="s">
        <v>250</v>
      </c>
      <c r="E20" s="988">
        <f>(F20*E8)</f>
        <v>0.14659</v>
      </c>
      <c r="F20" s="958">
        <v>1.37</v>
      </c>
      <c r="G20" s="958">
        <f>(210/1000)</f>
        <v>0.21</v>
      </c>
      <c r="H20" s="926">
        <v>2020</v>
      </c>
      <c r="I20" s="1123" t="s">
        <v>273</v>
      </c>
      <c r="J20" s="422"/>
      <c r="K20" s="737"/>
      <c r="L20" s="423"/>
      <c r="M20" s="418"/>
      <c r="N20" s="418"/>
      <c r="O20" s="419"/>
      <c r="P20" s="412"/>
      <c r="Q20" s="412"/>
      <c r="R20" s="412"/>
      <c r="S20" s="414"/>
      <c r="U20" s="753"/>
      <c r="V20" s="123"/>
      <c r="W20" s="123"/>
      <c r="X20" s="123" t="s">
        <v>1264</v>
      </c>
      <c r="Y20" s="123"/>
      <c r="Z20" s="123" t="s">
        <v>1244</v>
      </c>
      <c r="AA20" s="123"/>
      <c r="AB20" s="247" t="s">
        <v>1267</v>
      </c>
      <c r="AC20" s="123"/>
      <c r="AD20" s="123"/>
      <c r="AE20" s="123"/>
      <c r="AF20" s="123"/>
      <c r="AG20" s="123"/>
      <c r="AH20" s="123"/>
    </row>
    <row r="21" spans="2:34" s="404" customFormat="1" ht="49.9" customHeight="1" outlineLevel="1" x14ac:dyDescent="0.25">
      <c r="B21" s="1644"/>
      <c r="C21" s="1640"/>
      <c r="D21" s="927" t="s">
        <v>213</v>
      </c>
      <c r="E21" s="988">
        <f>(85*0.17)</f>
        <v>14.450000000000001</v>
      </c>
      <c r="F21" s="958">
        <f>E21</f>
        <v>14.450000000000001</v>
      </c>
      <c r="G21" s="982">
        <f>E21</f>
        <v>14.450000000000001</v>
      </c>
      <c r="H21" s="986">
        <v>2023</v>
      </c>
      <c r="I21" s="929" t="s">
        <v>931</v>
      </c>
      <c r="J21" s="422"/>
      <c r="K21" s="737"/>
      <c r="L21" s="423"/>
      <c r="M21" s="418"/>
      <c r="N21" s="418"/>
      <c r="O21" s="419"/>
      <c r="P21" s="412"/>
      <c r="Q21" s="412"/>
      <c r="R21" s="412"/>
      <c r="S21" s="414"/>
      <c r="U21" s="753"/>
      <c r="V21" s="123" t="s">
        <v>1265</v>
      </c>
      <c r="W21" s="123"/>
      <c r="X21" s="1149">
        <f>(AG13/Z13)*100</f>
        <v>2.2924812295577635</v>
      </c>
      <c r="Y21" s="123"/>
      <c r="Z21" s="1149">
        <f>(AH13/AA13)*100</f>
        <v>0.323193136249184</v>
      </c>
      <c r="AA21" s="123"/>
      <c r="AB21" s="123"/>
      <c r="AC21" s="123"/>
      <c r="AD21" s="123"/>
      <c r="AE21" s="123"/>
      <c r="AF21" s="123"/>
      <c r="AG21" s="123"/>
      <c r="AH21" s="123"/>
    </row>
    <row r="22" spans="2:34" s="404" customFormat="1" ht="49.9" customHeight="1" outlineLevel="1" x14ac:dyDescent="0.25">
      <c r="B22" s="1644"/>
      <c r="C22" s="1640"/>
      <c r="D22" s="928" t="s">
        <v>120</v>
      </c>
      <c r="E22" s="987">
        <f>(E20/E21)</f>
        <v>1.014463667820069E-2</v>
      </c>
      <c r="F22" s="969">
        <f>(F20/F21)</f>
        <v>9.4809688581314874E-2</v>
      </c>
      <c r="G22" s="969">
        <f>(G20/G21)</f>
        <v>1.4532871972318338E-2</v>
      </c>
      <c r="H22" s="986">
        <v>2025</v>
      </c>
      <c r="I22" s="929" t="s">
        <v>214</v>
      </c>
      <c r="J22" s="422"/>
      <c r="K22" s="737"/>
      <c r="L22" s="423"/>
      <c r="M22" s="418"/>
      <c r="N22" s="418"/>
      <c r="O22" s="419"/>
      <c r="P22" s="412"/>
      <c r="Q22" s="412"/>
      <c r="R22" s="412"/>
      <c r="S22" s="414"/>
      <c r="U22" s="753"/>
      <c r="AF22" s="753"/>
    </row>
    <row r="23" spans="2:34" s="404" customFormat="1" ht="49.9" customHeight="1" outlineLevel="1" x14ac:dyDescent="0.25">
      <c r="B23" s="1644"/>
      <c r="C23" s="1640"/>
      <c r="D23" s="927" t="s">
        <v>934</v>
      </c>
      <c r="E23" s="988">
        <f>(E20/(85*0.2))</f>
        <v>8.6229411764705884E-3</v>
      </c>
      <c r="F23" s="1066">
        <f>(F20/(85*0.2))</f>
        <v>8.0588235294117655E-2</v>
      </c>
      <c r="G23" s="982">
        <f>(G20/(85*0.2))</f>
        <v>1.2352941176470587E-2</v>
      </c>
      <c r="H23" s="986">
        <v>2025</v>
      </c>
      <c r="I23" s="929" t="s">
        <v>932</v>
      </c>
      <c r="J23" s="422"/>
      <c r="K23" s="737"/>
      <c r="L23" s="423"/>
      <c r="M23" s="418"/>
      <c r="N23" s="418"/>
      <c r="O23" s="419"/>
      <c r="P23" s="412"/>
      <c r="Q23" s="412"/>
      <c r="R23" s="412"/>
      <c r="S23" s="414"/>
      <c r="U23" s="753"/>
      <c r="AF23" s="753"/>
    </row>
    <row r="24" spans="2:34" s="404" customFormat="1" ht="49.9" customHeight="1" outlineLevel="1" x14ac:dyDescent="0.25">
      <c r="B24" s="1644"/>
      <c r="C24" s="1640"/>
      <c r="D24" s="927" t="s">
        <v>935</v>
      </c>
      <c r="E24" s="988">
        <f>(E20/(85*0.33))</f>
        <v>5.2260249554367203E-3</v>
      </c>
      <c r="F24" s="958">
        <f>(F20/(85*0.33))</f>
        <v>4.8841354723707667E-2</v>
      </c>
      <c r="G24" s="958">
        <f>(G20/(85*0.33))</f>
        <v>7.4866310160427805E-3</v>
      </c>
      <c r="H24" s="986">
        <v>2025</v>
      </c>
      <c r="I24" s="929" t="s">
        <v>933</v>
      </c>
      <c r="J24" s="424"/>
      <c r="K24" s="918"/>
      <c r="L24" s="1655"/>
      <c r="M24" s="418" t="s">
        <v>228</v>
      </c>
      <c r="N24" s="418" t="s">
        <v>115</v>
      </c>
      <c r="O24" s="419" t="e">
        <f>Q24/#REF!</f>
        <v>#REF!</v>
      </c>
      <c r="P24" s="412" t="s">
        <v>115</v>
      </c>
      <c r="Q24" s="412">
        <v>110649</v>
      </c>
      <c r="R24" s="412">
        <v>2023</v>
      </c>
      <c r="S24" s="414" t="s">
        <v>108</v>
      </c>
      <c r="U24" s="753"/>
      <c r="AF24" s="753"/>
    </row>
    <row r="25" spans="2:34" s="404" customFormat="1" ht="49.9" customHeight="1" outlineLevel="1" x14ac:dyDescent="0.25">
      <c r="B25" s="1644"/>
      <c r="C25" s="1640" t="s">
        <v>1332</v>
      </c>
      <c r="D25" s="927" t="s">
        <v>250</v>
      </c>
      <c r="E25" s="988">
        <f>(F25*E8)</f>
        <v>1.7833333333333333E-2</v>
      </c>
      <c r="F25" s="958">
        <f>(100/600)</f>
        <v>0.16666666666666666</v>
      </c>
      <c r="G25" s="958">
        <f>(169/1000)</f>
        <v>0.16900000000000001</v>
      </c>
      <c r="H25" s="986" t="s">
        <v>1336</v>
      </c>
      <c r="I25" s="929" t="s">
        <v>214</v>
      </c>
      <c r="J25" s="424"/>
      <c r="K25" s="918"/>
      <c r="L25" s="1655"/>
      <c r="M25" s="418" t="s">
        <v>231</v>
      </c>
      <c r="N25" s="418" t="s">
        <v>115</v>
      </c>
      <c r="O25" s="419" t="e">
        <f>Q25/#REF!</f>
        <v>#REF!</v>
      </c>
      <c r="P25" s="412" t="s">
        <v>115</v>
      </c>
      <c r="Q25" s="412">
        <v>96957</v>
      </c>
      <c r="R25" s="412">
        <v>2023</v>
      </c>
      <c r="S25" s="414" t="s">
        <v>108</v>
      </c>
      <c r="U25" s="753"/>
      <c r="AF25" s="753"/>
    </row>
    <row r="26" spans="2:34" s="404" customFormat="1" ht="49.9" customHeight="1" outlineLevel="1" x14ac:dyDescent="0.25">
      <c r="B26" s="1644"/>
      <c r="C26" s="1640"/>
      <c r="D26" s="927" t="s">
        <v>213</v>
      </c>
      <c r="E26" s="988">
        <f>(85*0.17)</f>
        <v>14.450000000000001</v>
      </c>
      <c r="F26" s="958">
        <f>E26</f>
        <v>14.450000000000001</v>
      </c>
      <c r="G26" s="981">
        <f>E26</f>
        <v>14.450000000000001</v>
      </c>
      <c r="H26" s="986">
        <v>2023</v>
      </c>
      <c r="I26" s="929" t="s">
        <v>931</v>
      </c>
      <c r="J26" s="424"/>
      <c r="K26" s="918"/>
      <c r="L26" s="1655"/>
      <c r="M26" s="418"/>
      <c r="N26" s="418"/>
      <c r="O26" s="419"/>
      <c r="P26" s="412"/>
      <c r="Q26" s="412"/>
      <c r="R26" s="412"/>
      <c r="S26" s="414"/>
      <c r="U26" s="753"/>
      <c r="AF26" s="753"/>
    </row>
    <row r="27" spans="2:34" s="404" customFormat="1" ht="49.9" customHeight="1" outlineLevel="1" x14ac:dyDescent="0.25">
      <c r="B27" s="1644"/>
      <c r="C27" s="1640"/>
      <c r="D27" s="928" t="s">
        <v>120</v>
      </c>
      <c r="E27" s="987">
        <f>($E$25/E26)</f>
        <v>1.2341407151095732E-3</v>
      </c>
      <c r="F27" s="969">
        <f>(F25/F26)</f>
        <v>1.1534025374855823E-2</v>
      </c>
      <c r="G27" s="969">
        <f>(G25/G26)</f>
        <v>1.1695501730103806E-2</v>
      </c>
      <c r="H27" s="986">
        <v>2025</v>
      </c>
      <c r="I27" s="929" t="s">
        <v>214</v>
      </c>
      <c r="J27" s="424"/>
      <c r="K27" s="918"/>
      <c r="L27" s="1655"/>
      <c r="M27" s="418"/>
      <c r="N27" s="418"/>
      <c r="O27" s="419"/>
      <c r="P27" s="412"/>
      <c r="Q27" s="412"/>
      <c r="R27" s="412"/>
      <c r="S27" s="414"/>
      <c r="U27" s="753"/>
      <c r="AF27" s="753"/>
    </row>
    <row r="28" spans="2:34" s="404" customFormat="1" ht="49.9" customHeight="1" outlineLevel="1" x14ac:dyDescent="0.25">
      <c r="B28" s="1644"/>
      <c r="C28" s="1640"/>
      <c r="D28" s="927" t="s">
        <v>934</v>
      </c>
      <c r="E28" s="988">
        <f>($E$25/(85*0.2))</f>
        <v>1.0490196078431371E-3</v>
      </c>
      <c r="F28" s="958">
        <f>(F25/(85*0.2))</f>
        <v>9.8039215686274508E-3</v>
      </c>
      <c r="G28" s="958">
        <f>($G$25/(85*0.2))</f>
        <v>9.9411764705882363E-3</v>
      </c>
      <c r="H28" s="926">
        <v>2025</v>
      </c>
      <c r="I28" s="929" t="s">
        <v>932</v>
      </c>
      <c r="J28" s="424"/>
      <c r="K28" s="918"/>
      <c r="L28" s="1655"/>
      <c r="M28" s="418"/>
      <c r="N28" s="418"/>
      <c r="O28" s="419"/>
      <c r="P28" s="412"/>
      <c r="Q28" s="412"/>
      <c r="R28" s="412"/>
      <c r="S28" s="414"/>
      <c r="U28" s="753"/>
      <c r="AF28" s="753"/>
    </row>
    <row r="29" spans="2:34" s="404" customFormat="1" ht="49.9" customHeight="1" outlineLevel="1" x14ac:dyDescent="0.25">
      <c r="B29" s="1644"/>
      <c r="C29" s="1640"/>
      <c r="D29" s="927" t="s">
        <v>935</v>
      </c>
      <c r="E29" s="988">
        <f>($E$25/(85*0.33))</f>
        <v>6.3576945929887108E-4</v>
      </c>
      <c r="F29" s="958">
        <f>(F25/(85*0.33))</f>
        <v>5.9417706476530005E-3</v>
      </c>
      <c r="G29" s="958">
        <f>($G$25/(85*0.33))</f>
        <v>6.0249554367201429E-3</v>
      </c>
      <c r="H29" s="986">
        <v>2025</v>
      </c>
      <c r="I29" s="929" t="s">
        <v>933</v>
      </c>
      <c r="J29" s="424"/>
      <c r="K29" s="918"/>
      <c r="L29" s="1655"/>
      <c r="M29" s="418"/>
      <c r="N29" s="418"/>
      <c r="O29" s="419"/>
      <c r="P29" s="412"/>
      <c r="Q29" s="412"/>
      <c r="R29" s="412"/>
      <c r="S29" s="414"/>
      <c r="U29" s="753"/>
      <c r="AF29" s="753"/>
    </row>
    <row r="30" spans="2:34" s="404" customFormat="1" ht="49.9" customHeight="1" outlineLevel="1" x14ac:dyDescent="0.25">
      <c r="B30" s="1644"/>
      <c r="C30" s="1640" t="s">
        <v>1333</v>
      </c>
      <c r="D30" s="927" t="s">
        <v>250</v>
      </c>
      <c r="E30" s="988">
        <f>(F30*E8)</f>
        <v>0.14765999999999999</v>
      </c>
      <c r="F30" s="970">
        <f>(621/450)</f>
        <v>1.38</v>
      </c>
      <c r="G30" s="958">
        <f>(261/1000)</f>
        <v>0.26100000000000001</v>
      </c>
      <c r="H30" s="986" t="s">
        <v>1336</v>
      </c>
      <c r="I30" s="929" t="s">
        <v>214</v>
      </c>
      <c r="J30" s="411"/>
      <c r="K30" s="917"/>
      <c r="L30" s="1657"/>
      <c r="M30" s="426" t="s">
        <v>232</v>
      </c>
      <c r="N30" s="418" t="s">
        <v>115</v>
      </c>
      <c r="O30" s="419" t="e">
        <f>Q30/#REF!</f>
        <v>#REF!</v>
      </c>
      <c r="P30" s="412" t="s">
        <v>115</v>
      </c>
      <c r="Q30" s="412">
        <v>136359</v>
      </c>
      <c r="R30" s="412">
        <v>2023</v>
      </c>
      <c r="S30" s="414" t="s">
        <v>108</v>
      </c>
      <c r="U30" s="753"/>
      <c r="AF30" s="753"/>
    </row>
    <row r="31" spans="2:34" s="404" customFormat="1" ht="49.9" customHeight="1" outlineLevel="1" x14ac:dyDescent="0.25">
      <c r="B31" s="1644"/>
      <c r="C31" s="1640"/>
      <c r="D31" s="927" t="s">
        <v>213</v>
      </c>
      <c r="E31" s="988">
        <f>(130*0.17)</f>
        <v>22.1</v>
      </c>
      <c r="F31" s="970">
        <f>E31</f>
        <v>22.1</v>
      </c>
      <c r="G31" s="981">
        <f>E31</f>
        <v>22.1</v>
      </c>
      <c r="H31" s="926">
        <v>2023</v>
      </c>
      <c r="I31" s="929" t="s">
        <v>931</v>
      </c>
      <c r="J31" s="411"/>
      <c r="K31" s="917"/>
      <c r="L31" s="425"/>
      <c r="M31" s="426"/>
      <c r="N31" s="418"/>
      <c r="O31" s="419"/>
      <c r="P31" s="412"/>
      <c r="Q31" s="412"/>
      <c r="R31" s="412"/>
      <c r="S31" s="414"/>
      <c r="U31" s="753"/>
      <c r="AF31" s="753"/>
    </row>
    <row r="32" spans="2:34" s="404" customFormat="1" ht="49.9" customHeight="1" outlineLevel="1" x14ac:dyDescent="0.25">
      <c r="B32" s="1644"/>
      <c r="C32" s="1640"/>
      <c r="D32" s="928" t="s">
        <v>120</v>
      </c>
      <c r="E32" s="987">
        <f>($E$30/E31)</f>
        <v>6.6814479638009037E-3</v>
      </c>
      <c r="F32" s="971">
        <f>(F30/F31)</f>
        <v>6.2443438914027143E-2</v>
      </c>
      <c r="G32" s="989">
        <f>($G$30/G31)</f>
        <v>1.1809954751131221E-2</v>
      </c>
      <c r="H32" s="986">
        <v>2025</v>
      </c>
      <c r="I32" s="929" t="s">
        <v>214</v>
      </c>
      <c r="J32" s="411"/>
      <c r="K32" s="917"/>
      <c r="L32" s="425"/>
      <c r="M32" s="426"/>
      <c r="N32" s="418"/>
      <c r="O32" s="419"/>
      <c r="P32" s="412"/>
      <c r="Q32" s="412"/>
      <c r="R32" s="412"/>
      <c r="S32" s="414"/>
      <c r="U32" s="753"/>
      <c r="AF32" s="753"/>
    </row>
    <row r="33" spans="2:32" s="404" customFormat="1" ht="49.9" customHeight="1" outlineLevel="1" x14ac:dyDescent="0.25">
      <c r="B33" s="1644"/>
      <c r="C33" s="1640"/>
      <c r="D33" s="927" t="s">
        <v>934</v>
      </c>
      <c r="E33" s="988">
        <f>($E$30/(130*0.2))</f>
        <v>5.6792307692307689E-3</v>
      </c>
      <c r="F33" s="975">
        <f>(F30/(130*0.2))</f>
        <v>5.307692307692307E-2</v>
      </c>
      <c r="G33" s="982">
        <f>($G$30/(130*0.2))</f>
        <v>1.003846153846154E-2</v>
      </c>
      <c r="H33" s="926">
        <v>2025</v>
      </c>
      <c r="I33" s="929" t="s">
        <v>932</v>
      </c>
      <c r="J33" s="411"/>
      <c r="K33" s="917"/>
      <c r="L33" s="425"/>
      <c r="M33" s="426"/>
      <c r="N33" s="418"/>
      <c r="O33" s="419"/>
      <c r="P33" s="412"/>
      <c r="Q33" s="412"/>
      <c r="R33" s="412"/>
      <c r="S33" s="414"/>
      <c r="U33" s="753"/>
      <c r="AF33" s="753"/>
    </row>
    <row r="34" spans="2:32" s="404" customFormat="1" ht="49.9" customHeight="1" outlineLevel="1" x14ac:dyDescent="0.25">
      <c r="B34" s="1644"/>
      <c r="C34" s="1640"/>
      <c r="D34" s="927" t="s">
        <v>935</v>
      </c>
      <c r="E34" s="988">
        <f>($E$30/(130*0.33))</f>
        <v>3.4419580419580418E-3</v>
      </c>
      <c r="F34" s="975">
        <f>(F30/(130*0.33))</f>
        <v>3.2167832167832165E-2</v>
      </c>
      <c r="G34" s="982">
        <f>($G$30/(130*0.33))</f>
        <v>6.0839160839160841E-3</v>
      </c>
      <c r="H34" s="986">
        <v>2025</v>
      </c>
      <c r="I34" s="929" t="s">
        <v>933</v>
      </c>
      <c r="J34" s="411"/>
      <c r="K34" s="917"/>
      <c r="L34" s="425"/>
      <c r="M34" s="426"/>
      <c r="N34" s="418"/>
      <c r="O34" s="419"/>
      <c r="P34" s="412"/>
      <c r="Q34" s="412"/>
      <c r="R34" s="412"/>
      <c r="S34" s="414"/>
      <c r="U34" s="753"/>
      <c r="AF34" s="753"/>
    </row>
    <row r="35" spans="2:32" s="404" customFormat="1" ht="49.9" customHeight="1" outlineLevel="1" x14ac:dyDescent="0.25">
      <c r="B35" s="1644"/>
      <c r="C35" s="1640" t="s">
        <v>1334</v>
      </c>
      <c r="D35" s="927" t="s">
        <v>250</v>
      </c>
      <c r="E35" s="988">
        <f>(E8*F35)</f>
        <v>3.7663999999999996E-2</v>
      </c>
      <c r="F35" s="975">
        <f>(176/500)</f>
        <v>0.35199999999999998</v>
      </c>
      <c r="G35" s="958">
        <f>(169/1000)</f>
        <v>0.16900000000000001</v>
      </c>
      <c r="H35" s="986" t="s">
        <v>1336</v>
      </c>
      <c r="I35" s="1122" t="s">
        <v>1101</v>
      </c>
      <c r="J35" s="406"/>
      <c r="K35" s="918"/>
      <c r="L35" s="427" t="s">
        <v>229</v>
      </c>
      <c r="M35" s="428" t="s">
        <v>125</v>
      </c>
      <c r="N35" s="428" t="s">
        <v>115</v>
      </c>
      <c r="O35" s="429" t="e">
        <f>Q35/#REF!</f>
        <v>#REF!</v>
      </c>
      <c r="P35" s="412" t="s">
        <v>115</v>
      </c>
      <c r="Q35" s="412">
        <v>87</v>
      </c>
      <c r="R35" s="412">
        <v>2023</v>
      </c>
      <c r="S35" s="414" t="s">
        <v>108</v>
      </c>
      <c r="U35" s="753"/>
      <c r="AF35" s="753"/>
    </row>
    <row r="36" spans="2:32" s="404" customFormat="1" ht="49.9" customHeight="1" outlineLevel="1" x14ac:dyDescent="0.25">
      <c r="B36" s="1644"/>
      <c r="C36" s="1640"/>
      <c r="D36" s="927" t="s">
        <v>213</v>
      </c>
      <c r="E36" s="1134">
        <f>(130*0.17)</f>
        <v>22.1</v>
      </c>
      <c r="F36" s="970">
        <f>E36</f>
        <v>22.1</v>
      </c>
      <c r="G36" s="958">
        <f>E36</f>
        <v>22.1</v>
      </c>
      <c r="H36" s="986">
        <v>2023</v>
      </c>
      <c r="I36" s="929" t="s">
        <v>931</v>
      </c>
      <c r="J36" s="424"/>
      <c r="K36" s="918"/>
      <c r="L36" s="427"/>
      <c r="M36" s="428"/>
      <c r="N36" s="428"/>
      <c r="O36" s="429"/>
      <c r="P36" s="412"/>
      <c r="Q36" s="412"/>
      <c r="R36" s="412"/>
      <c r="S36" s="414"/>
      <c r="U36" s="753"/>
      <c r="AF36" s="753"/>
    </row>
    <row r="37" spans="2:32" s="404" customFormat="1" ht="49.9" customHeight="1" outlineLevel="1" x14ac:dyDescent="0.25">
      <c r="B37" s="1644"/>
      <c r="C37" s="1640"/>
      <c r="D37" s="928" t="s">
        <v>120</v>
      </c>
      <c r="E37" s="987">
        <f>($E$35/E36)</f>
        <v>1.7042533936651582E-3</v>
      </c>
      <c r="F37" s="966">
        <f>(F35/F36)</f>
        <v>1.5927601809954749E-2</v>
      </c>
      <c r="G37" s="969">
        <f>($G$35/G36)</f>
        <v>7.6470588235294122E-3</v>
      </c>
      <c r="H37" s="986">
        <v>2025</v>
      </c>
      <c r="I37" s="929" t="s">
        <v>214</v>
      </c>
      <c r="J37" s="424"/>
      <c r="K37" s="918"/>
      <c r="L37" s="427"/>
      <c r="M37" s="428"/>
      <c r="N37" s="428"/>
      <c r="O37" s="429"/>
      <c r="P37" s="412"/>
      <c r="Q37" s="412"/>
      <c r="R37" s="412"/>
      <c r="S37" s="414"/>
      <c r="U37" s="753"/>
      <c r="AF37" s="753"/>
    </row>
    <row r="38" spans="2:32" s="404" customFormat="1" ht="49.9" customHeight="1" outlineLevel="1" x14ac:dyDescent="0.25">
      <c r="B38" s="1644"/>
      <c r="C38" s="1640"/>
      <c r="D38" s="927" t="s">
        <v>934</v>
      </c>
      <c r="E38" s="988">
        <f>(E35/(130*0.2))</f>
        <v>1.4486153846153846E-3</v>
      </c>
      <c r="F38" s="961">
        <f>(F35/(130*0.2))</f>
        <v>1.3538461538461537E-2</v>
      </c>
      <c r="G38" s="958">
        <f>($G$35/(130*0.2))</f>
        <v>6.5000000000000006E-3</v>
      </c>
      <c r="H38" s="986">
        <v>2025</v>
      </c>
      <c r="I38" s="929" t="s">
        <v>932</v>
      </c>
      <c r="J38" s="424"/>
      <c r="K38" s="918"/>
      <c r="L38" s="427"/>
      <c r="M38" s="428"/>
      <c r="N38" s="428"/>
      <c r="O38" s="429"/>
      <c r="P38" s="412"/>
      <c r="Q38" s="412"/>
      <c r="R38" s="412"/>
      <c r="S38" s="414"/>
      <c r="U38" s="753"/>
      <c r="AF38" s="753"/>
    </row>
    <row r="39" spans="2:32" s="404" customFormat="1" ht="49.9" customHeight="1" outlineLevel="1" x14ac:dyDescent="0.25">
      <c r="B39" s="1645"/>
      <c r="C39" s="1640"/>
      <c r="D39" s="927" t="s">
        <v>935</v>
      </c>
      <c r="E39" s="988">
        <f>(E35/(130*0.33))</f>
        <v>8.7794871794871787E-4</v>
      </c>
      <c r="F39" s="961">
        <f>(F35/(130*0.33))</f>
        <v>8.2051282051282051E-3</v>
      </c>
      <c r="G39" s="958">
        <f>($G$35/(130*0.33))</f>
        <v>3.9393939393939396E-3</v>
      </c>
      <c r="H39" s="986">
        <v>2025</v>
      </c>
      <c r="I39" s="929" t="s">
        <v>933</v>
      </c>
      <c r="J39" s="1192"/>
      <c r="K39" s="918"/>
      <c r="L39" s="427"/>
      <c r="M39" s="428"/>
      <c r="N39" s="428"/>
      <c r="O39" s="429"/>
      <c r="P39" s="412"/>
      <c r="Q39" s="412"/>
      <c r="R39" s="412"/>
      <c r="S39" s="414"/>
      <c r="U39" s="753"/>
      <c r="AF39" s="753"/>
    </row>
    <row r="40" spans="2:32" s="404" customFormat="1" ht="49.9" customHeight="1" outlineLevel="1" x14ac:dyDescent="0.25">
      <c r="B40" s="959" t="s">
        <v>130</v>
      </c>
      <c r="C40" s="1065" t="s">
        <v>133</v>
      </c>
      <c r="D40" s="928" t="s">
        <v>120</v>
      </c>
      <c r="E40" s="987">
        <f>(F40*E8)</f>
        <v>4.448410221602872E-2</v>
      </c>
      <c r="F40" s="970">
        <f>(1860/((16*1.852)*(540*0.2796)))</f>
        <v>0.41573927304699737</v>
      </c>
      <c r="G40" s="969">
        <f>((14.3+7.4)/1000)</f>
        <v>2.1700000000000004E-2</v>
      </c>
      <c r="H40" s="986" t="s">
        <v>1336</v>
      </c>
      <c r="I40" s="1124" t="s">
        <v>1093</v>
      </c>
      <c r="J40" s="1193"/>
      <c r="K40" s="919"/>
      <c r="L40" s="1652" t="s">
        <v>233</v>
      </c>
      <c r="M40" s="412" t="s">
        <v>221</v>
      </c>
      <c r="N40" s="412" t="s">
        <v>77</v>
      </c>
      <c r="O40" s="412"/>
      <c r="P40" s="412" t="s">
        <v>77</v>
      </c>
      <c r="Q40" s="412">
        <v>27.5</v>
      </c>
      <c r="R40" s="412">
        <v>2023</v>
      </c>
      <c r="S40" s="414" t="s">
        <v>108</v>
      </c>
      <c r="U40" s="753"/>
      <c r="AF40" s="753"/>
    </row>
    <row r="41" spans="2:32" s="404" customFormat="1" ht="49.9" customHeight="1" outlineLevel="1" x14ac:dyDescent="0.25">
      <c r="B41" s="1642" t="s">
        <v>170</v>
      </c>
      <c r="C41" s="1641" t="s">
        <v>1335</v>
      </c>
      <c r="D41" s="927" t="s">
        <v>250</v>
      </c>
      <c r="E41" s="988">
        <v>0.222</v>
      </c>
      <c r="F41" s="990"/>
      <c r="G41" s="991">
        <f>G44</f>
        <v>0.83694000000000002</v>
      </c>
      <c r="H41" s="927">
        <v>2023</v>
      </c>
      <c r="I41" s="1261" t="s">
        <v>1102</v>
      </c>
      <c r="J41" s="1194"/>
      <c r="K41" s="919"/>
      <c r="L41" s="1653"/>
      <c r="M41" s="412"/>
      <c r="N41" s="412"/>
      <c r="O41" s="412"/>
      <c r="P41" s="412"/>
      <c r="Q41" s="412"/>
      <c r="R41" s="412"/>
      <c r="S41" s="414"/>
      <c r="U41" s="753"/>
      <c r="AF41" s="753"/>
    </row>
    <row r="42" spans="2:32" s="404" customFormat="1" ht="49.9" customHeight="1" outlineLevel="1" x14ac:dyDescent="0.25">
      <c r="B42" s="1642"/>
      <c r="C42" s="1641"/>
      <c r="D42" s="927" t="s">
        <v>279</v>
      </c>
      <c r="E42" s="988">
        <f>(58*0.2)</f>
        <v>11.600000000000001</v>
      </c>
      <c r="F42" s="990"/>
      <c r="G42" s="991">
        <f>E42</f>
        <v>11.600000000000001</v>
      </c>
      <c r="H42" s="927">
        <v>2023</v>
      </c>
      <c r="I42" s="929" t="s">
        <v>1094</v>
      </c>
      <c r="J42" s="1193"/>
      <c r="K42" s="919"/>
      <c r="L42" s="1653"/>
      <c r="M42" s="412"/>
      <c r="N42" s="412"/>
      <c r="O42" s="412"/>
      <c r="P42" s="412"/>
      <c r="Q42" s="412"/>
      <c r="R42" s="412"/>
      <c r="S42" s="414"/>
      <c r="U42" s="753"/>
      <c r="AF42" s="753"/>
    </row>
    <row r="43" spans="2:32" s="404" customFormat="1" ht="49.9" customHeight="1" outlineLevel="1" x14ac:dyDescent="0.25">
      <c r="B43" s="1642"/>
      <c r="C43" s="1641"/>
      <c r="D43" s="928" t="s">
        <v>120</v>
      </c>
      <c r="E43" s="987">
        <f>(E41/E42)</f>
        <v>1.9137931034482757E-2</v>
      </c>
      <c r="F43" s="990"/>
      <c r="G43" s="989">
        <f>(G41/G42)</f>
        <v>7.2149999999999992E-2</v>
      </c>
      <c r="H43" s="927">
        <v>2025</v>
      </c>
      <c r="I43" s="929" t="s">
        <v>214</v>
      </c>
      <c r="J43" s="430"/>
      <c r="K43" s="919"/>
      <c r="L43" s="1653"/>
      <c r="M43" s="412"/>
      <c r="N43" s="412"/>
      <c r="O43" s="412"/>
      <c r="P43" s="412"/>
      <c r="Q43" s="412"/>
      <c r="R43" s="412"/>
      <c r="S43" s="414"/>
      <c r="U43" s="753"/>
      <c r="AF43" s="753"/>
    </row>
    <row r="44" spans="2:32" s="404" customFormat="1" ht="49.9" customHeight="1" outlineLevel="1" x14ac:dyDescent="0.25">
      <c r="B44" s="1642"/>
      <c r="C44" s="1640" t="s">
        <v>280</v>
      </c>
      <c r="D44" s="927" t="s">
        <v>250</v>
      </c>
      <c r="E44" s="988">
        <f>(275/1000)</f>
        <v>0.27500000000000002</v>
      </c>
      <c r="F44" s="992"/>
      <c r="G44" s="958">
        <f>(41847/50000)</f>
        <v>0.83694000000000002</v>
      </c>
      <c r="H44" s="986">
        <v>2023</v>
      </c>
      <c r="I44" s="1261" t="s">
        <v>1102</v>
      </c>
      <c r="J44" s="431"/>
      <c r="K44" s="920"/>
      <c r="L44" s="1653"/>
      <c r="M44" s="412" t="s">
        <v>234</v>
      </c>
      <c r="N44" s="412" t="s">
        <v>77</v>
      </c>
      <c r="O44" s="412"/>
      <c r="P44" s="412" t="s">
        <v>77</v>
      </c>
      <c r="Q44" s="412">
        <v>14</v>
      </c>
      <c r="R44" s="412">
        <v>2023</v>
      </c>
      <c r="S44" s="414" t="s">
        <v>108</v>
      </c>
      <c r="U44" s="753"/>
      <c r="AF44" s="753"/>
    </row>
    <row r="45" spans="2:32" s="404" customFormat="1" ht="49.9" customHeight="1" outlineLevel="1" x14ac:dyDescent="0.25">
      <c r="B45" s="1642"/>
      <c r="C45" s="1640"/>
      <c r="D45" s="927" t="s">
        <v>213</v>
      </c>
      <c r="E45" s="988">
        <f>(221*0.2)</f>
        <v>44.2</v>
      </c>
      <c r="F45" s="992"/>
      <c r="G45" s="958">
        <f>E45</f>
        <v>44.2</v>
      </c>
      <c r="H45" s="986">
        <v>2023</v>
      </c>
      <c r="I45" s="929" t="s">
        <v>1241</v>
      </c>
      <c r="J45" s="431"/>
      <c r="K45" s="920"/>
      <c r="L45" s="1653"/>
      <c r="M45" s="412" t="s">
        <v>235</v>
      </c>
      <c r="N45" s="412" t="s">
        <v>77</v>
      </c>
      <c r="O45" s="412"/>
      <c r="P45" s="412" t="s">
        <v>77</v>
      </c>
      <c r="Q45" s="412">
        <v>16.3</v>
      </c>
      <c r="R45" s="412">
        <v>2023</v>
      </c>
      <c r="S45" s="414" t="s">
        <v>108</v>
      </c>
      <c r="U45" s="753"/>
      <c r="AF45" s="753"/>
    </row>
    <row r="46" spans="2:32" s="404" customFormat="1" ht="49.9" customHeight="1" outlineLevel="1" x14ac:dyDescent="0.25">
      <c r="B46" s="1642"/>
      <c r="C46" s="1640"/>
      <c r="D46" s="928" t="s">
        <v>120</v>
      </c>
      <c r="E46" s="987">
        <f>(E44/E45)</f>
        <v>6.2217194570135751E-3</v>
      </c>
      <c r="F46" s="992"/>
      <c r="G46" s="969">
        <f>(G44/G45)</f>
        <v>1.8935294117647057E-2</v>
      </c>
      <c r="H46" s="986">
        <v>2025</v>
      </c>
      <c r="I46" s="929" t="s">
        <v>214</v>
      </c>
      <c r="J46" s="431"/>
      <c r="K46" s="920"/>
      <c r="L46" s="432" t="s">
        <v>236</v>
      </c>
      <c r="M46" s="418" t="s">
        <v>238</v>
      </c>
      <c r="N46" s="418" t="s">
        <v>77</v>
      </c>
      <c r="O46" s="419" t="e">
        <f>((Q46*38)/0.0036)/#REF!</f>
        <v>#REF!</v>
      </c>
      <c r="P46" s="412" t="s">
        <v>237</v>
      </c>
      <c r="Q46" s="412">
        <f>27563.1*1000</f>
        <v>27563100</v>
      </c>
      <c r="R46" s="412">
        <v>2023</v>
      </c>
      <c r="S46" s="414" t="s">
        <v>108</v>
      </c>
      <c r="U46" s="753"/>
      <c r="AF46" s="753"/>
    </row>
    <row r="47" spans="2:32" s="404" customFormat="1" ht="49.9" customHeight="1" outlineLevel="1" x14ac:dyDescent="0.25">
      <c r="B47" s="1642" t="s">
        <v>124</v>
      </c>
      <c r="C47" s="1068" t="s">
        <v>1240</v>
      </c>
      <c r="D47" s="928" t="s">
        <v>120</v>
      </c>
      <c r="E47" s="987">
        <f>(9/1000)</f>
        <v>8.9999999999999993E-3</v>
      </c>
      <c r="F47" s="992"/>
      <c r="G47" s="969">
        <f>(2/1000)</f>
        <v>2E-3</v>
      </c>
      <c r="H47" s="986">
        <v>2022</v>
      </c>
      <c r="I47" s="1261" t="s">
        <v>1102</v>
      </c>
      <c r="J47" s="431"/>
      <c r="K47" s="920"/>
      <c r="L47" s="1654" t="s">
        <v>247</v>
      </c>
      <c r="M47" s="418" t="s">
        <v>125</v>
      </c>
      <c r="N47" s="418" t="s">
        <v>77</v>
      </c>
      <c r="O47" s="419" t="e">
        <f>((Q47*27*1.2)/0.0036)/#REF!</f>
        <v>#REF!</v>
      </c>
      <c r="P47" s="412" t="s">
        <v>116</v>
      </c>
      <c r="Q47" s="412">
        <f>166137*1000</f>
        <v>166137000</v>
      </c>
      <c r="R47" s="412">
        <v>2023</v>
      </c>
      <c r="S47" s="414" t="s">
        <v>108</v>
      </c>
      <c r="U47" s="753"/>
      <c r="AF47" s="753"/>
    </row>
    <row r="48" spans="2:32" s="404" customFormat="1" ht="49.9" customHeight="1" outlineLevel="1" x14ac:dyDescent="0.25">
      <c r="B48" s="1642"/>
      <c r="C48" s="993" t="s">
        <v>244</v>
      </c>
      <c r="D48" s="976" t="s">
        <v>120</v>
      </c>
      <c r="E48" s="1069">
        <f>(7/1000)</f>
        <v>7.0000000000000001E-3</v>
      </c>
      <c r="F48" s="992"/>
      <c r="G48" s="958">
        <f>(2/1000)</f>
        <v>2E-3</v>
      </c>
      <c r="H48" s="986">
        <v>2023</v>
      </c>
      <c r="I48" s="1261" t="s">
        <v>1102</v>
      </c>
      <c r="J48" s="431"/>
      <c r="K48" s="920"/>
      <c r="L48" s="1655"/>
      <c r="M48" s="418" t="s">
        <v>227</v>
      </c>
      <c r="N48" s="418" t="s">
        <v>77</v>
      </c>
      <c r="O48" s="433" t="e">
        <f>((Q48*27*1.34)/0.0036)/#REF!</f>
        <v>#REF!</v>
      </c>
      <c r="P48" s="412" t="s">
        <v>116</v>
      </c>
      <c r="Q48" s="412">
        <f>68*1000</f>
        <v>68000</v>
      </c>
      <c r="R48" s="412">
        <v>2023</v>
      </c>
      <c r="S48" s="414" t="s">
        <v>108</v>
      </c>
      <c r="U48" s="753"/>
      <c r="AF48" s="753"/>
    </row>
    <row r="49" spans="1:86" s="404" customFormat="1" ht="49.9" customHeight="1" outlineLevel="1" x14ac:dyDescent="0.25">
      <c r="B49" s="1649" t="s">
        <v>153</v>
      </c>
      <c r="C49" s="1070" t="s">
        <v>427</v>
      </c>
      <c r="D49" s="980" t="s">
        <v>120</v>
      </c>
      <c r="E49" s="987">
        <f>(F49*E8)</f>
        <v>1.7280500000000001E-2</v>
      </c>
      <c r="F49" s="958">
        <f>0.1615</f>
        <v>0.1615</v>
      </c>
      <c r="G49" s="969">
        <f>(2/1000)</f>
        <v>2E-3</v>
      </c>
      <c r="H49" s="986">
        <v>2025</v>
      </c>
      <c r="I49" s="1122" t="s">
        <v>1100</v>
      </c>
      <c r="J49" s="431"/>
      <c r="K49" s="920"/>
      <c r="L49" s="1655"/>
      <c r="M49" s="418" t="s">
        <v>239</v>
      </c>
      <c r="N49" s="418" t="s">
        <v>77</v>
      </c>
      <c r="O49" s="433" t="e">
        <f>((Q49*23*1.88)/0.0036)/#REF!</f>
        <v>#REF!</v>
      </c>
      <c r="P49" s="412" t="s">
        <v>116</v>
      </c>
      <c r="Q49" s="412">
        <f>2.2*1000</f>
        <v>2200</v>
      </c>
      <c r="R49" s="412">
        <v>2023</v>
      </c>
      <c r="S49" s="414" t="s">
        <v>108</v>
      </c>
      <c r="U49" s="753"/>
      <c r="AF49" s="753"/>
    </row>
    <row r="50" spans="1:86" s="404" customFormat="1" ht="49.9" customHeight="1" outlineLevel="1" x14ac:dyDescent="0.25">
      <c r="B50" s="1649"/>
      <c r="C50" s="1070" t="s">
        <v>216</v>
      </c>
      <c r="D50" s="980" t="s">
        <v>120</v>
      </c>
      <c r="E50" s="985">
        <f>(1/1000)</f>
        <v>1E-3</v>
      </c>
      <c r="F50" s="992"/>
      <c r="G50" s="969">
        <f>(2/1000)</f>
        <v>2E-3</v>
      </c>
      <c r="H50" s="986">
        <v>2023</v>
      </c>
      <c r="I50" s="1261" t="s">
        <v>1102</v>
      </c>
      <c r="J50" s="431"/>
      <c r="K50" s="920"/>
      <c r="L50" s="434" t="s">
        <v>240</v>
      </c>
      <c r="M50" s="426" t="s">
        <v>242</v>
      </c>
      <c r="N50" s="418" t="s">
        <v>77</v>
      </c>
      <c r="O50" s="433" t="e">
        <f>Q50/#REF!</f>
        <v>#REF!</v>
      </c>
      <c r="P50" s="412" t="s">
        <v>241</v>
      </c>
      <c r="Q50" s="412">
        <f>12404.2*1000</f>
        <v>12404200</v>
      </c>
      <c r="R50" s="412">
        <v>2023</v>
      </c>
      <c r="S50" s="414" t="s">
        <v>108</v>
      </c>
      <c r="U50" s="753"/>
      <c r="AF50" s="753"/>
    </row>
    <row r="51" spans="1:86" s="404" customFormat="1" ht="49.9" customHeight="1" outlineLevel="1" x14ac:dyDescent="0.25">
      <c r="B51" s="1649"/>
      <c r="C51" s="1070" t="s">
        <v>217</v>
      </c>
      <c r="D51" s="980" t="s">
        <v>120</v>
      </c>
      <c r="E51" s="985">
        <f>(37/1000)</f>
        <v>3.6999999999999998E-2</v>
      </c>
      <c r="F51" s="992"/>
      <c r="G51" s="969">
        <f>(2/1000)</f>
        <v>2E-3</v>
      </c>
      <c r="H51" s="986">
        <v>2023</v>
      </c>
      <c r="I51" s="1261" t="s">
        <v>1102</v>
      </c>
      <c r="J51" s="431"/>
      <c r="K51" s="920"/>
      <c r="L51" s="435" t="s">
        <v>243</v>
      </c>
      <c r="M51" s="436" t="s">
        <v>221</v>
      </c>
      <c r="N51" s="412" t="s">
        <v>219</v>
      </c>
      <c r="P51" s="412" t="s">
        <v>219</v>
      </c>
      <c r="Q51" s="412">
        <f>8563.9*1000000</f>
        <v>8563900000</v>
      </c>
      <c r="R51" s="412">
        <v>2023</v>
      </c>
      <c r="S51" s="414" t="s">
        <v>108</v>
      </c>
      <c r="U51" s="753"/>
      <c r="AF51" s="753"/>
    </row>
    <row r="52" spans="1:86" s="404" customFormat="1" ht="49.9" customHeight="1" outlineLevel="1" x14ac:dyDescent="0.35">
      <c r="C52" s="405"/>
      <c r="D52" s="405"/>
      <c r="E52" s="405"/>
      <c r="I52" s="405"/>
      <c r="L52" s="1652"/>
      <c r="M52" s="412"/>
      <c r="N52" s="412"/>
      <c r="O52" s="412"/>
      <c r="P52" s="412"/>
      <c r="Q52" s="412"/>
      <c r="R52" s="412"/>
      <c r="S52" s="414"/>
      <c r="U52" s="1697" t="s">
        <v>914</v>
      </c>
      <c r="V52" s="1697"/>
      <c r="W52" s="1697" t="s">
        <v>915</v>
      </c>
      <c r="X52" s="1697"/>
      <c r="Y52" s="1697"/>
      <c r="Z52" s="1697"/>
      <c r="AA52" s="1697"/>
      <c r="AB52" s="1697"/>
      <c r="AC52" s="1697"/>
      <c r="AD52" s="1697"/>
      <c r="AE52" s="746"/>
      <c r="AF52" s="1697" t="s">
        <v>914</v>
      </c>
      <c r="AG52" s="1697"/>
      <c r="AH52" s="1697" t="s">
        <v>916</v>
      </c>
      <c r="AI52" s="1698"/>
      <c r="AJ52" s="1698"/>
      <c r="AK52" s="1698"/>
      <c r="AL52" s="1698"/>
      <c r="AM52" s="1699"/>
      <c r="AN52" s="746"/>
      <c r="AO52" s="746"/>
      <c r="AP52" s="746"/>
      <c r="AQ52" s="746"/>
      <c r="AR52" s="746"/>
      <c r="AS52" s="746"/>
      <c r="AT52" s="746"/>
      <c r="AU52" s="747"/>
    </row>
    <row r="53" spans="1:86" s="404" customFormat="1" ht="49.9" customHeight="1" outlineLevel="1" x14ac:dyDescent="0.35">
      <c r="B53" s="994" t="s">
        <v>1091</v>
      </c>
      <c r="C53" s="995" t="s">
        <v>1097</v>
      </c>
      <c r="D53" s="1686" t="s">
        <v>85</v>
      </c>
      <c r="E53" s="1686"/>
      <c r="I53" s="405"/>
      <c r="L53" s="1653"/>
      <c r="M53" s="412"/>
      <c r="N53" s="412"/>
      <c r="O53" s="412"/>
      <c r="P53" s="412"/>
      <c r="Q53" s="412"/>
      <c r="R53" s="412"/>
      <c r="S53" s="414"/>
      <c r="U53" s="1697"/>
      <c r="V53" s="1697"/>
      <c r="W53" s="1697" t="s">
        <v>917</v>
      </c>
      <c r="X53" s="1697"/>
      <c r="Y53" s="1697"/>
      <c r="Z53" s="1697"/>
      <c r="AA53" s="1697"/>
      <c r="AB53" s="1697"/>
      <c r="AC53" s="1697"/>
      <c r="AD53" s="1697"/>
      <c r="AE53" s="746"/>
      <c r="AF53" s="1697"/>
      <c r="AG53" s="1697"/>
      <c r="AH53" s="1697" t="s">
        <v>917</v>
      </c>
      <c r="AI53" s="1697"/>
      <c r="AJ53" s="1697"/>
      <c r="AK53" s="1697"/>
      <c r="AL53" s="1697"/>
      <c r="AM53" s="1697"/>
      <c r="AN53" s="746"/>
      <c r="AO53" s="746"/>
      <c r="AP53" s="746"/>
      <c r="AQ53" s="746"/>
      <c r="AR53" s="746"/>
      <c r="AS53" s="746"/>
      <c r="AT53" s="746"/>
      <c r="AU53" s="747"/>
    </row>
    <row r="54" spans="1:86" s="404" customFormat="1" ht="49.9" customHeight="1" outlineLevel="1" x14ac:dyDescent="0.35">
      <c r="B54" s="1072" t="s">
        <v>1337</v>
      </c>
      <c r="C54" s="1071">
        <f>(23/1000)</f>
        <v>2.3E-2</v>
      </c>
      <c r="D54" s="1687" t="s">
        <v>278</v>
      </c>
      <c r="E54" s="1687"/>
      <c r="I54" s="405"/>
      <c r="L54" s="1653"/>
      <c r="M54" s="412"/>
      <c r="N54" s="412"/>
      <c r="O54" s="412"/>
      <c r="P54" s="412"/>
      <c r="Q54" s="412"/>
      <c r="R54" s="412"/>
      <c r="S54" s="414"/>
      <c r="U54" s="1697"/>
      <c r="V54" s="1697"/>
      <c r="W54" s="1697" t="s">
        <v>918</v>
      </c>
      <c r="X54" s="1697"/>
      <c r="Y54" s="1697"/>
      <c r="Z54" s="1697"/>
      <c r="AA54" s="1697"/>
      <c r="AB54" s="1697"/>
      <c r="AC54" s="1697"/>
      <c r="AD54" s="1697"/>
      <c r="AE54" s="746"/>
      <c r="AF54" s="1697"/>
      <c r="AG54" s="1697"/>
      <c r="AH54" s="1697" t="s">
        <v>918</v>
      </c>
      <c r="AI54" s="1697"/>
      <c r="AJ54" s="1697"/>
      <c r="AK54" s="1697"/>
      <c r="AL54" s="1697"/>
      <c r="AM54" s="1697"/>
      <c r="AN54" s="746"/>
      <c r="AO54" s="746"/>
      <c r="AP54" s="746"/>
      <c r="AQ54" s="746"/>
      <c r="AR54" s="746"/>
      <c r="AS54" s="746"/>
      <c r="AT54" s="746"/>
      <c r="AU54" s="747"/>
    </row>
    <row r="55" spans="1:86" s="404" customFormat="1" ht="49.9" customHeight="1" outlineLevel="1" x14ac:dyDescent="0.35">
      <c r="C55" s="405"/>
      <c r="D55" s="405"/>
      <c r="E55" s="405"/>
      <c r="I55" s="405"/>
      <c r="L55" s="1656"/>
      <c r="M55" s="930"/>
      <c r="N55" s="930"/>
      <c r="O55" s="930"/>
      <c r="P55" s="930"/>
      <c r="Q55" s="930"/>
      <c r="R55" s="930"/>
      <c r="S55" s="931"/>
      <c r="U55" s="1697"/>
      <c r="V55" s="1697"/>
      <c r="W55" s="1696" t="s">
        <v>5</v>
      </c>
      <c r="X55" s="1696"/>
      <c r="Y55" s="1696" t="s">
        <v>221</v>
      </c>
      <c r="Z55" s="1696"/>
      <c r="AA55" s="1696" t="s">
        <v>234</v>
      </c>
      <c r="AB55" s="1696"/>
      <c r="AC55" s="1696" t="s">
        <v>235</v>
      </c>
      <c r="AD55" s="1696"/>
      <c r="AE55" s="932"/>
      <c r="AF55" s="1697"/>
      <c r="AG55" s="1697"/>
      <c r="AH55" s="1696" t="s">
        <v>919</v>
      </c>
      <c r="AI55" s="1696"/>
      <c r="AJ55" s="1696" t="s">
        <v>234</v>
      </c>
      <c r="AK55" s="1696"/>
      <c r="AL55" s="1696" t="s">
        <v>235</v>
      </c>
      <c r="AM55" s="1696"/>
      <c r="AN55" s="932"/>
      <c r="AO55" s="932"/>
      <c r="AP55" s="933" t="s">
        <v>928</v>
      </c>
      <c r="AQ55" s="933"/>
      <c r="AR55" s="933"/>
      <c r="AS55" s="934"/>
      <c r="AT55" s="934"/>
      <c r="AU55" s="935"/>
    </row>
    <row r="56" spans="1:86" s="948" customFormat="1" ht="49.9" customHeight="1" x14ac:dyDescent="0.35">
      <c r="A56" s="437"/>
      <c r="B56" s="912" t="s">
        <v>1236</v>
      </c>
      <c r="C56" s="912"/>
      <c r="D56" s="912"/>
      <c r="E56" s="912"/>
      <c r="F56" s="912"/>
      <c r="G56" s="912"/>
      <c r="H56" s="912"/>
      <c r="I56" s="912"/>
      <c r="J56" s="947"/>
      <c r="K56" s="947"/>
      <c r="T56" s="947"/>
      <c r="U56" s="949" t="s">
        <v>145</v>
      </c>
      <c r="V56" s="950" t="s">
        <v>921</v>
      </c>
      <c r="W56" s="951" t="s">
        <v>920</v>
      </c>
      <c r="X56" s="952" t="s">
        <v>152</v>
      </c>
      <c r="Y56" s="951" t="s">
        <v>920</v>
      </c>
      <c r="Z56" s="952" t="s">
        <v>152</v>
      </c>
      <c r="AA56" s="953">
        <v>32.700000000000003</v>
      </c>
      <c r="AB56" s="952" t="s">
        <v>920</v>
      </c>
      <c r="AC56" s="953">
        <v>68.2</v>
      </c>
      <c r="AD56" s="952" t="s">
        <v>920</v>
      </c>
      <c r="AE56" s="954">
        <f>AA56+AC56</f>
        <v>100.9</v>
      </c>
      <c r="AF56" s="949" t="s">
        <v>145</v>
      </c>
      <c r="AG56" s="950" t="s">
        <v>921</v>
      </c>
      <c r="AH56" s="953">
        <v>992.4</v>
      </c>
      <c r="AI56" s="952" t="s">
        <v>920</v>
      </c>
      <c r="AJ56" s="953">
        <v>300.39999999999998</v>
      </c>
      <c r="AK56" s="952" t="s">
        <v>920</v>
      </c>
      <c r="AL56" s="951">
        <v>465</v>
      </c>
      <c r="AM56" s="952" t="s">
        <v>920</v>
      </c>
      <c r="AN56" s="954">
        <f>AJ56+AL56</f>
        <v>765.4</v>
      </c>
      <c r="AO56" s="954"/>
      <c r="AP56" s="955">
        <f>AE56/AN56</f>
        <v>0.13182649594983017</v>
      </c>
      <c r="AQ56" s="954"/>
      <c r="AR56" s="955">
        <f>AA56/AJ56</f>
        <v>0.10885486018641813</v>
      </c>
      <c r="AS56" s="954"/>
      <c r="AT56" s="954"/>
      <c r="AU56" s="947"/>
      <c r="AV56" s="947"/>
      <c r="AW56" s="947"/>
      <c r="AX56" s="947"/>
      <c r="AY56" s="947"/>
      <c r="AZ56" s="947"/>
      <c r="BA56" s="947"/>
      <c r="BB56" s="947"/>
      <c r="BC56" s="947"/>
      <c r="BD56" s="947"/>
      <c r="BE56" s="947"/>
      <c r="BF56" s="947"/>
      <c r="BG56" s="947"/>
      <c r="BH56" s="947"/>
      <c r="BI56" s="947"/>
      <c r="BJ56" s="947"/>
      <c r="BK56" s="947"/>
      <c r="BL56" s="947"/>
      <c r="BM56" s="947"/>
      <c r="BN56" s="947"/>
      <c r="BO56" s="947"/>
      <c r="BP56" s="947"/>
      <c r="BQ56" s="947"/>
      <c r="BR56" s="947"/>
      <c r="BS56" s="947"/>
      <c r="BT56" s="947"/>
      <c r="BU56" s="947"/>
    </row>
    <row r="57" spans="1:86" s="404" customFormat="1" ht="30" customHeight="1" outlineLevel="1" x14ac:dyDescent="0.35">
      <c r="B57" s="49"/>
      <c r="C57" s="405"/>
      <c r="D57" s="936"/>
      <c r="E57" s="936"/>
      <c r="F57" s="936"/>
      <c r="G57" s="936"/>
      <c r="H57" s="936"/>
      <c r="I57" s="937"/>
      <c r="J57" s="936"/>
      <c r="K57" s="936"/>
      <c r="L57" s="936"/>
      <c r="M57" s="936"/>
      <c r="N57" s="936"/>
      <c r="O57" s="936"/>
      <c r="P57" s="936"/>
      <c r="Q57" s="938"/>
      <c r="R57" s="938"/>
      <c r="S57" s="742"/>
      <c r="T57" s="442"/>
      <c r="U57" s="939" t="s">
        <v>516</v>
      </c>
      <c r="V57" s="940" t="s">
        <v>922</v>
      </c>
      <c r="W57" s="941" t="s">
        <v>920</v>
      </c>
      <c r="X57" s="942" t="s">
        <v>152</v>
      </c>
      <c r="Y57" s="941" t="s">
        <v>920</v>
      </c>
      <c r="Z57" s="942" t="s">
        <v>152</v>
      </c>
      <c r="AA57" s="943">
        <v>5.0999999999999996</v>
      </c>
      <c r="AB57" s="942" t="s">
        <v>920</v>
      </c>
      <c r="AC57" s="943">
        <v>52.8</v>
      </c>
      <c r="AD57" s="942" t="s">
        <v>920</v>
      </c>
      <c r="AE57" s="944">
        <f>AA57+AC57</f>
        <v>57.9</v>
      </c>
      <c r="AF57" s="939" t="s">
        <v>516</v>
      </c>
      <c r="AG57" s="940" t="s">
        <v>923</v>
      </c>
      <c r="AH57" s="943">
        <v>384.5</v>
      </c>
      <c r="AI57" s="942" t="s">
        <v>920</v>
      </c>
      <c r="AJ57" s="943">
        <v>55.4</v>
      </c>
      <c r="AK57" s="942" t="s">
        <v>920</v>
      </c>
      <c r="AL57" s="943">
        <v>329.1</v>
      </c>
      <c r="AM57" s="942" t="s">
        <v>920</v>
      </c>
      <c r="AN57" s="944">
        <f>AJ57+AL57</f>
        <v>384.5</v>
      </c>
      <c r="AO57" s="944"/>
      <c r="AP57" s="945">
        <f>AE57/AN57</f>
        <v>0.15058517555266579</v>
      </c>
      <c r="AQ57" s="944"/>
      <c r="AR57" s="945">
        <f>AA57/AJ57</f>
        <v>9.2057761732851975E-2</v>
      </c>
      <c r="AS57" s="944"/>
      <c r="AT57" s="944"/>
      <c r="AU57" s="946"/>
      <c r="AV57" s="442"/>
      <c r="AW57" s="442"/>
      <c r="AX57" s="442"/>
      <c r="AY57" s="442"/>
      <c r="AZ57" s="442"/>
      <c r="BA57" s="442"/>
      <c r="BB57" s="442"/>
      <c r="BC57" s="442"/>
      <c r="BD57" s="442"/>
      <c r="BE57" s="442"/>
      <c r="BF57" s="442"/>
      <c r="BG57" s="442"/>
      <c r="BH57" s="442"/>
      <c r="BI57" s="442"/>
      <c r="BJ57" s="442"/>
      <c r="BK57" s="442"/>
      <c r="BL57" s="442"/>
      <c r="BM57" s="442"/>
      <c r="BN57" s="442"/>
      <c r="BO57" s="442"/>
      <c r="BP57" s="442"/>
      <c r="BQ57" s="442"/>
      <c r="BR57" s="442"/>
      <c r="BS57" s="442"/>
      <c r="BT57" s="442"/>
      <c r="BU57" s="442"/>
      <c r="BV57" s="442"/>
      <c r="BW57" s="442"/>
      <c r="BX57" s="442"/>
      <c r="BY57" s="442"/>
      <c r="BZ57" s="442"/>
      <c r="CA57" s="442"/>
      <c r="CB57" s="442"/>
      <c r="CC57" s="442"/>
      <c r="CD57" s="442"/>
      <c r="CE57" s="442"/>
      <c r="CF57" s="442"/>
    </row>
    <row r="58" spans="1:86" s="404" customFormat="1" ht="49.9" customHeight="1" outlineLevel="1" x14ac:dyDescent="0.35">
      <c r="B58" s="1689" t="s">
        <v>1031</v>
      </c>
      <c r="C58" s="1667" t="s">
        <v>8</v>
      </c>
      <c r="D58" s="1658" t="s">
        <v>3</v>
      </c>
      <c r="E58" s="1658" t="s">
        <v>1234</v>
      </c>
      <c r="F58" s="1658"/>
      <c r="G58" s="1658"/>
      <c r="H58" s="1658"/>
      <c r="I58" s="1658" t="s">
        <v>1097</v>
      </c>
      <c r="J58" s="1658" t="s">
        <v>169</v>
      </c>
      <c r="K58" s="1658" t="s">
        <v>85</v>
      </c>
      <c r="U58" s="754" t="s">
        <v>517</v>
      </c>
      <c r="V58" s="748" t="s">
        <v>924</v>
      </c>
      <c r="W58" s="749" t="s">
        <v>920</v>
      </c>
      <c r="X58" s="750" t="s">
        <v>152</v>
      </c>
      <c r="Y58" s="749" t="s">
        <v>920</v>
      </c>
      <c r="Z58" s="750" t="s">
        <v>152</v>
      </c>
      <c r="AA58" s="751">
        <v>61.2</v>
      </c>
      <c r="AB58" s="750" t="s">
        <v>920</v>
      </c>
      <c r="AC58" s="751">
        <v>139.4</v>
      </c>
      <c r="AD58" s="750" t="s">
        <v>920</v>
      </c>
      <c r="AE58" s="746">
        <f>AA58+AC58</f>
        <v>200.60000000000002</v>
      </c>
      <c r="AF58" s="754" t="s">
        <v>517</v>
      </c>
      <c r="AG58" s="748" t="s">
        <v>925</v>
      </c>
      <c r="AH58" s="751">
        <v>722.9</v>
      </c>
      <c r="AI58" s="750" t="s">
        <v>920</v>
      </c>
      <c r="AJ58" s="749">
        <v>373</v>
      </c>
      <c r="AK58" s="750" t="s">
        <v>920</v>
      </c>
      <c r="AL58" s="751">
        <v>349.9</v>
      </c>
      <c r="AM58" s="750" t="s">
        <v>920</v>
      </c>
      <c r="AN58" s="746">
        <f>AJ58+AL58</f>
        <v>722.9</v>
      </c>
      <c r="AO58" s="746"/>
      <c r="AP58" s="752">
        <f>AE58/AN58</f>
        <v>0.27749342924332554</v>
      </c>
      <c r="AQ58" s="746"/>
      <c r="AR58" s="752">
        <f>AA58/AJ58</f>
        <v>0.16407506702412869</v>
      </c>
      <c r="AS58" s="746"/>
      <c r="AT58" s="746"/>
      <c r="AU58" s="747"/>
    </row>
    <row r="59" spans="1:86" s="404" customFormat="1" ht="49.9" customHeight="1" outlineLevel="1" x14ac:dyDescent="0.35">
      <c r="B59" s="1689"/>
      <c r="C59" s="1668"/>
      <c r="D59" s="1658"/>
      <c r="E59" s="925" t="s">
        <v>1098</v>
      </c>
      <c r="F59" s="925" t="s">
        <v>447</v>
      </c>
      <c r="G59" s="925" t="s">
        <v>448</v>
      </c>
      <c r="H59" s="925" t="s">
        <v>449</v>
      </c>
      <c r="I59" s="1658"/>
      <c r="J59" s="1658"/>
      <c r="K59" s="1658"/>
      <c r="U59" s="755" t="s">
        <v>926</v>
      </c>
      <c r="V59" s="745"/>
      <c r="W59" s="745"/>
      <c r="X59" s="745"/>
      <c r="Y59" s="745"/>
      <c r="Z59" s="745"/>
      <c r="AA59" s="745"/>
      <c r="AB59" s="745"/>
      <c r="AC59" s="745"/>
      <c r="AD59" s="745"/>
      <c r="AE59" s="745"/>
      <c r="AF59" s="755" t="s">
        <v>927</v>
      </c>
      <c r="AG59" s="745"/>
      <c r="AH59" s="745"/>
      <c r="AI59" s="745"/>
      <c r="AJ59" s="745"/>
      <c r="AK59" s="745"/>
      <c r="AL59" s="745"/>
      <c r="AM59" s="745"/>
      <c r="AN59" s="745"/>
      <c r="AO59" s="745"/>
      <c r="AP59" s="745"/>
      <c r="AQ59" s="745"/>
      <c r="AR59" s="745"/>
      <c r="AS59" s="745"/>
      <c r="AT59" s="745"/>
    </row>
    <row r="60" spans="1:86" s="404" customFormat="1" ht="49.9" customHeight="1" outlineLevel="1" x14ac:dyDescent="0.35">
      <c r="B60" s="927" t="s">
        <v>276</v>
      </c>
      <c r="C60" s="1073" t="s">
        <v>277</v>
      </c>
      <c r="D60" s="927" t="s">
        <v>120</v>
      </c>
      <c r="E60" s="957">
        <v>1.8710000000000001E-2</v>
      </c>
      <c r="F60" s="968">
        <v>1.848E-2</v>
      </c>
      <c r="G60" s="968">
        <v>1.0000000000000001E-5</v>
      </c>
      <c r="H60" s="968">
        <v>2.2000000000000001E-4</v>
      </c>
      <c r="I60" s="969">
        <f>(((2.59/1000)*40.15)/26)</f>
        <v>3.999557692307692E-3</v>
      </c>
      <c r="J60" s="927">
        <v>2025</v>
      </c>
      <c r="K60" s="1125" t="s">
        <v>1103</v>
      </c>
      <c r="U60" s="756"/>
      <c r="V60" s="745"/>
      <c r="W60" s="745"/>
      <c r="X60" s="745"/>
      <c r="Y60" s="745"/>
      <c r="Z60" s="745"/>
      <c r="AA60" s="745"/>
      <c r="AB60" s="745"/>
      <c r="AC60" s="745"/>
      <c r="AD60" s="745"/>
      <c r="AE60" s="745"/>
      <c r="AF60" s="756"/>
      <c r="AG60" s="745"/>
      <c r="AH60" s="745"/>
      <c r="AI60" s="745"/>
      <c r="AJ60" s="745"/>
      <c r="AK60" s="745"/>
      <c r="AL60" s="745"/>
      <c r="AM60" s="745"/>
      <c r="AN60" s="745"/>
      <c r="AO60" s="745"/>
      <c r="AP60" s="745"/>
      <c r="AQ60" s="745"/>
      <c r="AR60" s="745"/>
      <c r="AS60" s="745"/>
      <c r="AT60" s="745"/>
    </row>
    <row r="61" spans="1:86" s="440" customFormat="1" ht="70.150000000000006" customHeight="1" outlineLevel="1" x14ac:dyDescent="0.25">
      <c r="A61" s="439"/>
      <c r="B61" s="1646" t="s">
        <v>113</v>
      </c>
      <c r="C61" s="1639" t="s">
        <v>375</v>
      </c>
      <c r="D61" s="927" t="s">
        <v>250</v>
      </c>
      <c r="E61" s="960">
        <f>(SUM(F61:H61))</f>
        <v>1.1989227299999998</v>
      </c>
      <c r="F61" s="984">
        <f>1198.86/1000</f>
        <v>1.1988599999999998</v>
      </c>
      <c r="G61" s="968">
        <f>41.27/1000000</f>
        <v>4.1270000000000003E-5</v>
      </c>
      <c r="H61" s="968">
        <f>21.46/1000000</f>
        <v>2.1460000000000001E-5</v>
      </c>
      <c r="I61" s="958">
        <f>(1.548*0.06)</f>
        <v>9.2880000000000004E-2</v>
      </c>
      <c r="J61" s="962">
        <v>2022</v>
      </c>
      <c r="K61" s="1249" t="s">
        <v>941</v>
      </c>
      <c r="T61" s="439"/>
      <c r="U61" s="138"/>
      <c r="V61" s="439"/>
      <c r="W61" s="439"/>
      <c r="X61" s="439"/>
      <c r="Y61" s="439"/>
      <c r="Z61" s="439"/>
      <c r="AA61" s="439"/>
      <c r="AB61" s="439"/>
      <c r="AC61" s="439"/>
      <c r="AD61" s="439"/>
      <c r="AE61" s="439"/>
      <c r="AF61" s="138"/>
      <c r="AG61" s="439"/>
      <c r="AH61" s="439"/>
      <c r="AI61" s="439"/>
      <c r="AJ61" s="439"/>
      <c r="AK61" s="439"/>
      <c r="AL61" s="439"/>
      <c r="AM61" s="439"/>
      <c r="AN61" s="439"/>
      <c r="AO61" s="439"/>
      <c r="AP61" s="439"/>
      <c r="AQ61" s="439"/>
      <c r="AR61" s="439"/>
      <c r="AS61" s="439"/>
      <c r="AT61" s="439"/>
      <c r="AU61" s="439"/>
      <c r="AV61" s="439"/>
      <c r="AW61" s="439"/>
      <c r="AX61" s="439"/>
      <c r="AY61" s="439"/>
      <c r="AZ61" s="439"/>
      <c r="BA61" s="439"/>
      <c r="BB61" s="439"/>
      <c r="BC61" s="439"/>
      <c r="BD61" s="439"/>
      <c r="BE61" s="439"/>
      <c r="BF61" s="439"/>
      <c r="BG61" s="439"/>
      <c r="BH61" s="439"/>
      <c r="BI61" s="439"/>
      <c r="BJ61" s="439"/>
      <c r="BK61" s="439"/>
      <c r="BL61" s="439"/>
      <c r="BM61" s="439"/>
      <c r="BN61" s="439"/>
      <c r="BO61" s="439"/>
      <c r="BP61" s="439"/>
      <c r="BQ61" s="439"/>
      <c r="BR61" s="439"/>
      <c r="BS61" s="439"/>
      <c r="BT61" s="439"/>
      <c r="BU61" s="439"/>
      <c r="BV61" s="439"/>
      <c r="BW61" s="439"/>
      <c r="BX61" s="439"/>
      <c r="BY61" s="439"/>
      <c r="BZ61" s="439"/>
      <c r="CA61" s="439"/>
      <c r="CB61" s="439"/>
      <c r="CC61" s="439"/>
      <c r="CD61" s="439"/>
      <c r="CE61" s="439"/>
      <c r="CF61" s="439"/>
      <c r="CG61" s="439"/>
      <c r="CH61" s="439"/>
    </row>
    <row r="62" spans="1:86" s="440" customFormat="1" ht="70.150000000000006" customHeight="1" outlineLevel="1" x14ac:dyDescent="0.25">
      <c r="A62" s="439"/>
      <c r="B62" s="1647"/>
      <c r="C62" s="1639"/>
      <c r="D62" s="927" t="s">
        <v>122</v>
      </c>
      <c r="E62" s="964">
        <f>85*0.17</f>
        <v>14.450000000000001</v>
      </c>
      <c r="F62" s="983">
        <f>E62</f>
        <v>14.450000000000001</v>
      </c>
      <c r="G62" s="1131">
        <f>E62</f>
        <v>14.450000000000001</v>
      </c>
      <c r="H62" s="983">
        <f>E62</f>
        <v>14.450000000000001</v>
      </c>
      <c r="I62" s="965">
        <f>E62</f>
        <v>14.450000000000001</v>
      </c>
      <c r="J62" s="962">
        <v>2023</v>
      </c>
      <c r="K62" s="929" t="s">
        <v>931</v>
      </c>
      <c r="T62" s="439"/>
      <c r="U62" s="138"/>
      <c r="V62" s="439"/>
      <c r="W62" s="439"/>
      <c r="X62" s="439"/>
      <c r="Y62" s="439"/>
      <c r="Z62" s="439"/>
      <c r="AA62" s="439"/>
      <c r="AB62" s="439"/>
      <c r="AC62" s="439"/>
      <c r="AD62" s="439"/>
      <c r="AE62" s="439"/>
      <c r="AF62" s="138"/>
      <c r="AG62" s="439"/>
      <c r="AH62" s="439"/>
      <c r="AI62" s="439"/>
      <c r="AJ62" s="439"/>
      <c r="AK62" s="439"/>
      <c r="AL62" s="439"/>
      <c r="AM62" s="439"/>
      <c r="AN62" s="439"/>
      <c r="AO62" s="439"/>
      <c r="AP62" s="439"/>
      <c r="AQ62" s="439"/>
      <c r="AR62" s="439"/>
      <c r="AS62" s="439"/>
      <c r="AT62" s="439"/>
      <c r="AU62" s="439"/>
      <c r="AV62" s="439"/>
      <c r="AW62" s="439"/>
      <c r="AX62" s="439"/>
      <c r="AY62" s="439"/>
      <c r="AZ62" s="439"/>
      <c r="BA62" s="439"/>
      <c r="BB62" s="439"/>
      <c r="BC62" s="439"/>
      <c r="BD62" s="439"/>
      <c r="BE62" s="439"/>
      <c r="BF62" s="439"/>
      <c r="BG62" s="439"/>
      <c r="BH62" s="439"/>
      <c r="BI62" s="439"/>
      <c r="BJ62" s="439"/>
      <c r="BK62" s="439"/>
      <c r="BL62" s="439"/>
      <c r="BM62" s="439"/>
      <c r="BN62" s="439"/>
      <c r="BO62" s="439"/>
      <c r="BP62" s="439"/>
      <c r="BQ62" s="439"/>
      <c r="BR62" s="439"/>
      <c r="BS62" s="439"/>
      <c r="BT62" s="439"/>
      <c r="BU62" s="439"/>
      <c r="BV62" s="439"/>
      <c r="BW62" s="439"/>
      <c r="BX62" s="439"/>
      <c r="BY62" s="439"/>
      <c r="BZ62" s="439"/>
      <c r="CA62" s="439"/>
      <c r="CB62" s="439"/>
      <c r="CC62" s="439"/>
      <c r="CD62" s="439"/>
      <c r="CE62" s="439"/>
      <c r="CF62" s="439"/>
      <c r="CG62" s="439"/>
      <c r="CH62" s="439"/>
    </row>
    <row r="63" spans="1:86" s="440" customFormat="1" ht="70.150000000000006" customHeight="1" outlineLevel="1" x14ac:dyDescent="0.25">
      <c r="A63" s="439"/>
      <c r="B63" s="1647"/>
      <c r="C63" s="1639"/>
      <c r="D63" s="928" t="s">
        <v>120</v>
      </c>
      <c r="E63" s="957">
        <f>(E61/E62)</f>
        <v>8.29704311418685E-2</v>
      </c>
      <c r="F63" s="968">
        <f>F61/F62</f>
        <v>8.2966089965397907E-2</v>
      </c>
      <c r="G63" s="968">
        <f>G61/G62</f>
        <v>2.8560553633217993E-6</v>
      </c>
      <c r="H63" s="968">
        <f>H61/H62</f>
        <v>1.4851211072664359E-6</v>
      </c>
      <c r="I63" s="967">
        <f>(I61/$I$62)</f>
        <v>6.4276816608996538E-3</v>
      </c>
      <c r="J63" s="962">
        <v>2025</v>
      </c>
      <c r="K63" s="929" t="s">
        <v>214</v>
      </c>
      <c r="T63" s="439"/>
      <c r="U63" s="138"/>
      <c r="V63" s="439"/>
      <c r="W63" s="439"/>
      <c r="X63" s="439"/>
      <c r="Y63" s="439"/>
      <c r="Z63" s="439"/>
      <c r="AA63" s="439"/>
      <c r="AB63" s="439"/>
      <c r="AC63" s="439"/>
      <c r="AD63" s="439"/>
      <c r="AE63" s="439"/>
      <c r="AF63" s="138"/>
      <c r="AG63" s="439"/>
      <c r="AH63" s="439"/>
      <c r="AI63" s="439"/>
      <c r="AJ63" s="439"/>
      <c r="AK63" s="439"/>
      <c r="AL63" s="439"/>
      <c r="AM63" s="439"/>
      <c r="AN63" s="439"/>
      <c r="AO63" s="439"/>
      <c r="AP63" s="439"/>
      <c r="AQ63" s="439"/>
      <c r="AR63" s="439"/>
      <c r="AS63" s="439"/>
      <c r="AT63" s="439"/>
      <c r="AU63" s="439"/>
      <c r="AV63" s="439"/>
      <c r="AW63" s="439"/>
      <c r="AX63" s="439"/>
      <c r="AY63" s="439"/>
      <c r="AZ63" s="439"/>
      <c r="BA63" s="439"/>
      <c r="BB63" s="439"/>
      <c r="BC63" s="439"/>
      <c r="BD63" s="439"/>
      <c r="BE63" s="439"/>
      <c r="BF63" s="439"/>
      <c r="BG63" s="439"/>
      <c r="BH63" s="439"/>
      <c r="BI63" s="439"/>
      <c r="BJ63" s="439"/>
      <c r="BK63" s="439"/>
      <c r="BL63" s="439"/>
      <c r="BM63" s="439"/>
      <c r="BN63" s="439"/>
      <c r="BO63" s="439"/>
      <c r="BP63" s="439"/>
      <c r="BQ63" s="439"/>
      <c r="BR63" s="439"/>
      <c r="BS63" s="439"/>
      <c r="BT63" s="439"/>
      <c r="BU63" s="439"/>
      <c r="BV63" s="439"/>
      <c r="BW63" s="439"/>
      <c r="BX63" s="439"/>
      <c r="BY63" s="439"/>
      <c r="BZ63" s="439"/>
      <c r="CA63" s="439"/>
      <c r="CB63" s="439"/>
      <c r="CC63" s="439"/>
      <c r="CD63" s="439"/>
      <c r="CE63" s="439"/>
      <c r="CF63" s="439"/>
      <c r="CG63" s="439"/>
      <c r="CH63" s="439"/>
    </row>
    <row r="64" spans="1:86" s="440" customFormat="1" ht="70.150000000000006" customHeight="1" outlineLevel="1" x14ac:dyDescent="0.25">
      <c r="A64" s="439"/>
      <c r="B64" s="1647"/>
      <c r="C64" s="1639"/>
      <c r="D64" s="927" t="s">
        <v>934</v>
      </c>
      <c r="E64" s="960">
        <f>(E61/(85*0.2))</f>
        <v>7.0524866470588227E-2</v>
      </c>
      <c r="F64" s="1074"/>
      <c r="G64" s="1075"/>
      <c r="H64" s="1075"/>
      <c r="I64" s="981">
        <f>I63</f>
        <v>6.4276816608996538E-3</v>
      </c>
      <c r="J64" s="962">
        <v>2025</v>
      </c>
      <c r="K64" s="929" t="s">
        <v>932</v>
      </c>
      <c r="T64" s="439"/>
      <c r="U64" s="138"/>
      <c r="V64" s="439"/>
      <c r="W64" s="439"/>
      <c r="X64" s="439"/>
      <c r="Y64" s="439"/>
      <c r="Z64" s="439"/>
      <c r="AA64" s="439"/>
      <c r="AB64" s="439"/>
      <c r="AC64" s="439"/>
      <c r="AD64" s="439"/>
      <c r="AE64" s="439"/>
      <c r="AF64" s="138"/>
      <c r="AG64" s="439"/>
      <c r="AH64" s="439"/>
      <c r="AI64" s="439"/>
      <c r="AJ64" s="439"/>
      <c r="AK64" s="439"/>
      <c r="AL64" s="439"/>
      <c r="AM64" s="439"/>
      <c r="AN64" s="439"/>
      <c r="AO64" s="439"/>
      <c r="AP64" s="439"/>
      <c r="AQ64" s="439"/>
      <c r="AR64" s="439"/>
      <c r="AS64" s="439"/>
      <c r="AT64" s="439"/>
      <c r="AU64" s="439"/>
      <c r="AV64" s="439"/>
      <c r="AW64" s="439"/>
      <c r="AX64" s="439"/>
      <c r="AY64" s="439"/>
      <c r="AZ64" s="439"/>
      <c r="BA64" s="439"/>
      <c r="BB64" s="439"/>
      <c r="BC64" s="439"/>
      <c r="BD64" s="439"/>
      <c r="BE64" s="439"/>
      <c r="BF64" s="439"/>
      <c r="BG64" s="439"/>
      <c r="BH64" s="439"/>
      <c r="BI64" s="439"/>
      <c r="BJ64" s="439"/>
      <c r="BK64" s="439"/>
      <c r="BL64" s="439"/>
      <c r="BM64" s="439"/>
      <c r="BN64" s="439"/>
      <c r="BO64" s="439"/>
      <c r="BP64" s="439"/>
      <c r="BQ64" s="439"/>
      <c r="BR64" s="439"/>
      <c r="BS64" s="439"/>
      <c r="BT64" s="439"/>
      <c r="BU64" s="439"/>
      <c r="BV64" s="439"/>
      <c r="BW64" s="439"/>
      <c r="BX64" s="439"/>
      <c r="BY64" s="439"/>
      <c r="BZ64" s="439"/>
      <c r="CA64" s="439"/>
      <c r="CB64" s="439"/>
      <c r="CC64" s="439"/>
      <c r="CD64" s="439"/>
      <c r="CE64" s="439"/>
      <c r="CF64" s="439"/>
      <c r="CG64" s="439"/>
      <c r="CH64" s="439"/>
    </row>
    <row r="65" spans="1:86" s="440" customFormat="1" ht="70.150000000000006" customHeight="1" outlineLevel="1" x14ac:dyDescent="0.25">
      <c r="A65" s="439"/>
      <c r="B65" s="1647"/>
      <c r="C65" s="1639"/>
      <c r="D65" s="927" t="s">
        <v>935</v>
      </c>
      <c r="E65" s="960">
        <f>(E61/(85*0.33))</f>
        <v>4.2742343315508011E-2</v>
      </c>
      <c r="F65" s="1074"/>
      <c r="G65" s="1075"/>
      <c r="H65" s="1075"/>
      <c r="I65" s="981">
        <f>I63</f>
        <v>6.4276816608996538E-3</v>
      </c>
      <c r="J65" s="962">
        <v>2025</v>
      </c>
      <c r="K65" s="929" t="s">
        <v>933</v>
      </c>
      <c r="T65" s="439"/>
      <c r="U65" s="138"/>
      <c r="V65" s="439"/>
      <c r="W65" s="439"/>
      <c r="X65" s="439"/>
      <c r="Y65" s="439"/>
      <c r="Z65" s="439"/>
      <c r="AA65" s="439"/>
      <c r="AB65" s="439"/>
      <c r="AC65" s="439"/>
      <c r="AD65" s="439"/>
      <c r="AE65" s="439"/>
      <c r="AF65" s="138"/>
      <c r="AG65" s="439"/>
      <c r="AH65" s="439"/>
      <c r="AI65" s="439"/>
      <c r="AJ65" s="439"/>
      <c r="AK65" s="439"/>
      <c r="AL65" s="439"/>
      <c r="AM65" s="439"/>
      <c r="AN65" s="439"/>
      <c r="AO65" s="439"/>
      <c r="AP65" s="439"/>
      <c r="AQ65" s="439"/>
      <c r="AR65" s="439"/>
      <c r="AS65" s="439"/>
      <c r="AT65" s="439"/>
      <c r="AU65" s="439"/>
      <c r="AV65" s="439"/>
      <c r="AW65" s="439"/>
      <c r="AX65" s="439"/>
      <c r="AY65" s="439"/>
      <c r="AZ65" s="439"/>
      <c r="BA65" s="439"/>
      <c r="BB65" s="439"/>
      <c r="BC65" s="439"/>
      <c r="BD65" s="439"/>
      <c r="BE65" s="439"/>
      <c r="BF65" s="439"/>
      <c r="BG65" s="439"/>
      <c r="BH65" s="439"/>
      <c r="BI65" s="439"/>
      <c r="BJ65" s="439"/>
      <c r="BK65" s="439"/>
      <c r="BL65" s="439"/>
      <c r="BM65" s="439"/>
      <c r="BN65" s="439"/>
      <c r="BO65" s="439"/>
      <c r="BP65" s="439"/>
      <c r="BQ65" s="439"/>
      <c r="BR65" s="439"/>
      <c r="BS65" s="439"/>
      <c r="BT65" s="439"/>
      <c r="BU65" s="439"/>
      <c r="BV65" s="439"/>
      <c r="BW65" s="439"/>
      <c r="BX65" s="439"/>
      <c r="BY65" s="439"/>
      <c r="BZ65" s="439"/>
      <c r="CA65" s="439"/>
      <c r="CB65" s="439"/>
      <c r="CC65" s="439"/>
      <c r="CD65" s="439"/>
      <c r="CE65" s="439"/>
      <c r="CF65" s="439"/>
      <c r="CG65" s="439"/>
      <c r="CH65" s="439"/>
    </row>
    <row r="66" spans="1:86" s="440" customFormat="1" ht="70.150000000000006" customHeight="1" outlineLevel="1" x14ac:dyDescent="0.25">
      <c r="A66" s="439"/>
      <c r="B66" s="1647"/>
      <c r="C66" s="1685" t="s">
        <v>374</v>
      </c>
      <c r="D66" s="927" t="s">
        <v>250</v>
      </c>
      <c r="E66" s="960">
        <f>(SUM(F66:H66))</f>
        <v>1.3508783</v>
      </c>
      <c r="F66" s="968">
        <f>1339.89/1000</f>
        <v>1.33989</v>
      </c>
      <c r="G66" s="968">
        <f>998.83/100000</f>
        <v>9.9883000000000003E-3</v>
      </c>
      <c r="H66" s="968">
        <f>1000/1000000</f>
        <v>1E-3</v>
      </c>
      <c r="I66" s="958">
        <f>(1.504*0.06)</f>
        <v>9.0240000000000001E-2</v>
      </c>
      <c r="J66" s="962">
        <v>2022</v>
      </c>
      <c r="K66" s="1249" t="s">
        <v>941</v>
      </c>
      <c r="T66" s="439"/>
      <c r="U66" s="138"/>
      <c r="V66" s="439"/>
      <c r="W66" s="439"/>
      <c r="X66" s="439"/>
      <c r="Y66" s="439"/>
      <c r="Z66" s="439"/>
      <c r="AA66" s="439"/>
      <c r="AB66" s="439"/>
      <c r="AC66" s="439"/>
      <c r="AD66" s="439"/>
      <c r="AE66" s="439"/>
      <c r="AF66" s="138"/>
      <c r="AG66" s="439"/>
      <c r="AH66" s="439"/>
      <c r="AI66" s="439"/>
      <c r="AJ66" s="439"/>
      <c r="AK66" s="439"/>
      <c r="AL66" s="439"/>
      <c r="AM66" s="439"/>
      <c r="AN66" s="439"/>
      <c r="AO66" s="439"/>
      <c r="AP66" s="439"/>
      <c r="AQ66" s="439"/>
      <c r="AR66" s="439"/>
      <c r="AS66" s="439"/>
      <c r="AT66" s="439"/>
      <c r="AU66" s="439"/>
      <c r="AV66" s="439"/>
      <c r="AW66" s="439"/>
      <c r="AX66" s="439"/>
      <c r="AY66" s="439"/>
      <c r="AZ66" s="439"/>
      <c r="BA66" s="439"/>
      <c r="BB66" s="439"/>
      <c r="BC66" s="439"/>
      <c r="BD66" s="439"/>
      <c r="BE66" s="439"/>
      <c r="BF66" s="439"/>
      <c r="BG66" s="439"/>
      <c r="BH66" s="439"/>
      <c r="BI66" s="439"/>
      <c r="BJ66" s="439"/>
      <c r="BK66" s="439"/>
      <c r="BL66" s="439"/>
      <c r="BM66" s="439"/>
      <c r="BN66" s="439"/>
      <c r="BO66" s="439"/>
      <c r="BP66" s="439"/>
      <c r="BQ66" s="439"/>
      <c r="BR66" s="439"/>
      <c r="BS66" s="439"/>
      <c r="BT66" s="439"/>
      <c r="BU66" s="439"/>
      <c r="BV66" s="439"/>
      <c r="BW66" s="439"/>
      <c r="BX66" s="439"/>
      <c r="BY66" s="439"/>
      <c r="BZ66" s="439"/>
      <c r="CA66" s="439"/>
      <c r="CB66" s="439"/>
      <c r="CC66" s="439"/>
      <c r="CD66" s="439"/>
      <c r="CE66" s="439"/>
      <c r="CF66" s="439"/>
      <c r="CG66" s="439"/>
      <c r="CH66" s="439"/>
    </row>
    <row r="67" spans="1:86" s="440" customFormat="1" ht="70.150000000000006" customHeight="1" outlineLevel="1" x14ac:dyDescent="0.25">
      <c r="A67" s="439"/>
      <c r="B67" s="1647"/>
      <c r="C67" s="1685"/>
      <c r="D67" s="927" t="s">
        <v>122</v>
      </c>
      <c r="E67" s="964">
        <f>(85*0.17)</f>
        <v>14.450000000000001</v>
      </c>
      <c r="F67" s="983">
        <f>E67</f>
        <v>14.450000000000001</v>
      </c>
      <c r="G67" s="983">
        <f>F67</f>
        <v>14.450000000000001</v>
      </c>
      <c r="H67" s="983">
        <f>F67</f>
        <v>14.450000000000001</v>
      </c>
      <c r="I67" s="981">
        <f>F67</f>
        <v>14.450000000000001</v>
      </c>
      <c r="J67" s="962">
        <v>2023</v>
      </c>
      <c r="K67" s="929" t="s">
        <v>931</v>
      </c>
      <c r="T67" s="439"/>
      <c r="U67" s="138"/>
      <c r="V67" s="439"/>
      <c r="W67" s="439"/>
      <c r="X67" s="439"/>
      <c r="Y67" s="439"/>
      <c r="Z67" s="439"/>
      <c r="AA67" s="439"/>
      <c r="AB67" s="439"/>
      <c r="AC67" s="439"/>
      <c r="AD67" s="439"/>
      <c r="AE67" s="439"/>
      <c r="AF67" s="138"/>
      <c r="AG67" s="439"/>
      <c r="AH67" s="439"/>
      <c r="AI67" s="439"/>
      <c r="AJ67" s="439"/>
      <c r="AK67" s="439"/>
      <c r="AL67" s="439"/>
      <c r="AM67" s="439"/>
      <c r="AN67" s="439"/>
      <c r="AO67" s="439"/>
      <c r="AP67" s="439"/>
      <c r="AQ67" s="439"/>
      <c r="AR67" s="439"/>
      <c r="AS67" s="439"/>
      <c r="AT67" s="439"/>
      <c r="AU67" s="439"/>
      <c r="AV67" s="439"/>
      <c r="AW67" s="439"/>
      <c r="AX67" s="439"/>
      <c r="AY67" s="439"/>
      <c r="AZ67" s="439"/>
      <c r="BA67" s="439"/>
      <c r="BB67" s="439"/>
      <c r="BC67" s="439"/>
      <c r="BD67" s="439"/>
      <c r="BE67" s="439"/>
      <c r="BF67" s="439"/>
      <c r="BG67" s="439"/>
      <c r="BH67" s="439"/>
      <c r="BI67" s="439"/>
      <c r="BJ67" s="439"/>
      <c r="BK67" s="439"/>
      <c r="BL67" s="439"/>
      <c r="BM67" s="439"/>
      <c r="BN67" s="439"/>
      <c r="BO67" s="439"/>
      <c r="BP67" s="439"/>
      <c r="BQ67" s="439"/>
      <c r="BR67" s="439"/>
      <c r="BS67" s="439"/>
      <c r="BT67" s="439"/>
      <c r="BU67" s="439"/>
      <c r="BV67" s="439"/>
      <c r="BW67" s="439"/>
      <c r="BX67" s="439"/>
      <c r="BY67" s="439"/>
      <c r="BZ67" s="439"/>
      <c r="CA67" s="439"/>
      <c r="CB67" s="439"/>
      <c r="CC67" s="439"/>
      <c r="CD67" s="439"/>
      <c r="CE67" s="439"/>
      <c r="CF67" s="439"/>
      <c r="CG67" s="439"/>
      <c r="CH67" s="439"/>
    </row>
    <row r="68" spans="1:86" s="440" customFormat="1" ht="70.150000000000006" customHeight="1" outlineLevel="1" x14ac:dyDescent="0.25">
      <c r="A68" s="439"/>
      <c r="B68" s="1647"/>
      <c r="C68" s="1685"/>
      <c r="D68" s="928" t="s">
        <v>120</v>
      </c>
      <c r="E68" s="957">
        <f>(E66/E67)</f>
        <v>9.3486387543252586E-2</v>
      </c>
      <c r="F68" s="968">
        <f>F66/F67</f>
        <v>9.2725951557093414E-2</v>
      </c>
      <c r="G68" s="968">
        <f>G66/G67</f>
        <v>6.9123183391003461E-4</v>
      </c>
      <c r="H68" s="968">
        <f>H66/H67</f>
        <v>6.920415224913494E-5</v>
      </c>
      <c r="I68" s="967">
        <f>(I66/I67)</f>
        <v>6.2449826989619374E-3</v>
      </c>
      <c r="J68" s="962">
        <v>2025</v>
      </c>
      <c r="K68" s="929" t="s">
        <v>214</v>
      </c>
      <c r="T68" s="439"/>
      <c r="U68" s="138"/>
      <c r="V68" s="439"/>
      <c r="W68" s="439"/>
      <c r="X68" s="439"/>
      <c r="Y68" s="439"/>
      <c r="Z68" s="439"/>
      <c r="AA68" s="439"/>
      <c r="AB68" s="439"/>
      <c r="AC68" s="439"/>
      <c r="AD68" s="439"/>
      <c r="AE68" s="439"/>
      <c r="AF68" s="138"/>
      <c r="AG68" s="439"/>
      <c r="AH68" s="439"/>
      <c r="AI68" s="439"/>
      <c r="AJ68" s="439"/>
      <c r="AK68" s="439"/>
      <c r="AL68" s="439"/>
      <c r="AM68" s="439"/>
      <c r="AN68" s="439"/>
      <c r="AO68" s="439"/>
      <c r="AP68" s="439"/>
      <c r="AQ68" s="439"/>
      <c r="AR68" s="439"/>
      <c r="AS68" s="439"/>
      <c r="AT68" s="439"/>
      <c r="AU68" s="439"/>
      <c r="AV68" s="439"/>
      <c r="AW68" s="439"/>
      <c r="AX68" s="439"/>
      <c r="AY68" s="439"/>
      <c r="AZ68" s="439"/>
      <c r="BA68" s="439"/>
      <c r="BB68" s="439"/>
      <c r="BC68" s="439"/>
      <c r="BD68" s="439"/>
      <c r="BE68" s="439"/>
      <c r="BF68" s="439"/>
      <c r="BG68" s="439"/>
      <c r="BH68" s="439"/>
      <c r="BI68" s="439"/>
      <c r="BJ68" s="439"/>
      <c r="BK68" s="439"/>
      <c r="BL68" s="439"/>
      <c r="BM68" s="439"/>
      <c r="BN68" s="439"/>
      <c r="BO68" s="439"/>
      <c r="BP68" s="439"/>
      <c r="BQ68" s="439"/>
      <c r="BR68" s="439"/>
      <c r="BS68" s="439"/>
      <c r="BT68" s="439"/>
      <c r="BU68" s="439"/>
      <c r="BV68" s="439"/>
      <c r="BW68" s="439"/>
      <c r="BX68" s="439"/>
      <c r="BY68" s="439"/>
      <c r="BZ68" s="439"/>
      <c r="CA68" s="439"/>
      <c r="CB68" s="439"/>
      <c r="CC68" s="439"/>
      <c r="CD68" s="439"/>
      <c r="CE68" s="439"/>
      <c r="CF68" s="439"/>
      <c r="CG68" s="439"/>
      <c r="CH68" s="439"/>
    </row>
    <row r="69" spans="1:86" s="440" customFormat="1" ht="70.150000000000006" customHeight="1" outlineLevel="1" x14ac:dyDescent="0.25">
      <c r="A69" s="439"/>
      <c r="B69" s="1647"/>
      <c r="C69" s="1685"/>
      <c r="D69" s="927" t="s">
        <v>934</v>
      </c>
      <c r="E69" s="960">
        <f>(E66/(85*0.2))</f>
        <v>7.9463429411764708E-2</v>
      </c>
      <c r="F69" s="1675"/>
      <c r="G69" s="1676"/>
      <c r="H69" s="1677"/>
      <c r="I69" s="981">
        <f>I68</f>
        <v>6.2449826989619374E-3</v>
      </c>
      <c r="J69" s="962">
        <v>2025</v>
      </c>
      <c r="K69" s="929" t="s">
        <v>932</v>
      </c>
      <c r="T69" s="439"/>
      <c r="U69" s="138"/>
      <c r="V69" s="439"/>
      <c r="W69" s="439"/>
      <c r="X69" s="439"/>
      <c r="Y69" s="439"/>
      <c r="Z69" s="439"/>
      <c r="AA69" s="439"/>
      <c r="AB69" s="439"/>
      <c r="AC69" s="439"/>
      <c r="AD69" s="439"/>
      <c r="AE69" s="439"/>
      <c r="AF69" s="138"/>
      <c r="AG69" s="439"/>
      <c r="AH69" s="439"/>
      <c r="AI69" s="439"/>
      <c r="AJ69" s="439"/>
      <c r="AK69" s="439"/>
      <c r="AL69" s="439"/>
      <c r="AM69" s="439"/>
      <c r="AN69" s="439"/>
      <c r="AO69" s="439"/>
      <c r="AP69" s="439"/>
      <c r="AQ69" s="439"/>
      <c r="AR69" s="439"/>
      <c r="AS69" s="439"/>
      <c r="AT69" s="439"/>
      <c r="AU69" s="439"/>
      <c r="AV69" s="439"/>
      <c r="AW69" s="439"/>
      <c r="AX69" s="439"/>
      <c r="AY69" s="439"/>
      <c r="AZ69" s="439"/>
      <c r="BA69" s="439"/>
      <c r="BB69" s="439"/>
      <c r="BC69" s="439"/>
      <c r="BD69" s="439"/>
      <c r="BE69" s="439"/>
      <c r="BF69" s="439"/>
      <c r="BG69" s="439"/>
      <c r="BH69" s="439"/>
      <c r="BI69" s="439"/>
      <c r="BJ69" s="439"/>
      <c r="BK69" s="439"/>
      <c r="BL69" s="439"/>
      <c r="BM69" s="439"/>
      <c r="BN69" s="439"/>
      <c r="BO69" s="439"/>
      <c r="BP69" s="439"/>
      <c r="BQ69" s="439"/>
      <c r="BR69" s="439"/>
      <c r="BS69" s="439"/>
      <c r="BT69" s="439"/>
      <c r="BU69" s="439"/>
      <c r="BV69" s="439"/>
      <c r="BW69" s="439"/>
      <c r="BX69" s="439"/>
      <c r="BY69" s="439"/>
      <c r="BZ69" s="439"/>
      <c r="CA69" s="439"/>
      <c r="CB69" s="439"/>
      <c r="CC69" s="439"/>
      <c r="CD69" s="439"/>
      <c r="CE69" s="439"/>
      <c r="CF69" s="439"/>
      <c r="CG69" s="439"/>
      <c r="CH69" s="439"/>
    </row>
    <row r="70" spans="1:86" s="440" customFormat="1" ht="70.150000000000006" customHeight="1" outlineLevel="1" x14ac:dyDescent="0.25">
      <c r="A70" s="439"/>
      <c r="B70" s="1647"/>
      <c r="C70" s="1685"/>
      <c r="D70" s="927" t="s">
        <v>935</v>
      </c>
      <c r="E70" s="960">
        <f>(E66/(85*0.33))</f>
        <v>4.8159654188948305E-2</v>
      </c>
      <c r="F70" s="1675"/>
      <c r="G70" s="1676"/>
      <c r="H70" s="1677"/>
      <c r="I70" s="981">
        <f>I68</f>
        <v>6.2449826989619374E-3</v>
      </c>
      <c r="J70" s="962">
        <v>2025</v>
      </c>
      <c r="K70" s="929" t="s">
        <v>933</v>
      </c>
      <c r="T70" s="439"/>
      <c r="U70" s="138"/>
      <c r="V70" s="439"/>
      <c r="W70" s="439"/>
      <c r="X70" s="439"/>
      <c r="Y70" s="439"/>
      <c r="Z70" s="439"/>
      <c r="AA70" s="439"/>
      <c r="AB70" s="439"/>
      <c r="AC70" s="439"/>
      <c r="AD70" s="439"/>
      <c r="AE70" s="439"/>
      <c r="AF70" s="138"/>
      <c r="AG70" s="439"/>
      <c r="AH70" s="439"/>
      <c r="AI70" s="439"/>
      <c r="AJ70" s="439"/>
      <c r="AK70" s="439"/>
      <c r="AL70" s="439"/>
      <c r="AM70" s="439"/>
      <c r="AN70" s="439"/>
      <c r="AO70" s="439"/>
      <c r="AP70" s="439"/>
      <c r="AQ70" s="439"/>
      <c r="AR70" s="439"/>
      <c r="AS70" s="439"/>
      <c r="AT70" s="439"/>
      <c r="AU70" s="439"/>
      <c r="AV70" s="439"/>
      <c r="AW70" s="439"/>
      <c r="AX70" s="439"/>
      <c r="AY70" s="439"/>
      <c r="AZ70" s="439"/>
      <c r="BA70" s="439"/>
      <c r="BB70" s="439"/>
      <c r="BC70" s="439"/>
      <c r="BD70" s="439"/>
      <c r="BE70" s="439"/>
      <c r="BF70" s="439"/>
      <c r="BG70" s="439"/>
      <c r="BH70" s="439"/>
      <c r="BI70" s="439"/>
      <c r="BJ70" s="439"/>
      <c r="BK70" s="439"/>
      <c r="BL70" s="439"/>
      <c r="BM70" s="439"/>
      <c r="BN70" s="439"/>
      <c r="BO70" s="439"/>
      <c r="BP70" s="439"/>
      <c r="BQ70" s="439"/>
      <c r="BR70" s="439"/>
      <c r="BS70" s="439"/>
      <c r="BT70" s="439"/>
      <c r="BU70" s="439"/>
      <c r="BV70" s="439"/>
      <c r="BW70" s="439"/>
      <c r="BX70" s="439"/>
      <c r="BY70" s="439"/>
      <c r="BZ70" s="439"/>
      <c r="CA70" s="439"/>
      <c r="CB70" s="439"/>
      <c r="CC70" s="439"/>
      <c r="CD70" s="439"/>
      <c r="CE70" s="439"/>
      <c r="CF70" s="439"/>
      <c r="CG70" s="439"/>
      <c r="CH70" s="439"/>
    </row>
    <row r="71" spans="1:86" s="440" customFormat="1" ht="70.150000000000006" customHeight="1" outlineLevel="1" x14ac:dyDescent="0.25">
      <c r="A71" s="439"/>
      <c r="B71" s="1647"/>
      <c r="C71" s="1639" t="s">
        <v>930</v>
      </c>
      <c r="D71" s="927" t="s">
        <v>250</v>
      </c>
      <c r="E71" s="960">
        <v>0.68600000000000005</v>
      </c>
      <c r="F71" s="1678"/>
      <c r="G71" s="1679"/>
      <c r="H71" s="1680"/>
      <c r="I71" s="958">
        <f>(1.051*0.06)</f>
        <v>6.3059999999999991E-2</v>
      </c>
      <c r="J71" s="962">
        <v>2021</v>
      </c>
      <c r="K71" s="963" t="s">
        <v>450</v>
      </c>
      <c r="T71" s="439"/>
      <c r="U71" s="138"/>
      <c r="V71" s="439"/>
      <c r="W71" s="439"/>
      <c r="X71" s="439"/>
      <c r="Y71" s="439"/>
      <c r="Z71" s="439"/>
      <c r="AA71" s="439"/>
      <c r="AB71" s="439"/>
      <c r="AC71" s="439"/>
      <c r="AD71" s="439"/>
      <c r="AE71" s="439"/>
      <c r="AF71" s="138"/>
      <c r="AG71" s="439"/>
      <c r="AH71" s="439"/>
      <c r="AI71" s="439"/>
      <c r="AJ71" s="439"/>
      <c r="AK71" s="439"/>
      <c r="AL71" s="439"/>
      <c r="AM71" s="439"/>
      <c r="AN71" s="439"/>
      <c r="AO71" s="439"/>
      <c r="AP71" s="439"/>
      <c r="AQ71" s="439"/>
      <c r="AR71" s="439"/>
      <c r="AS71" s="439"/>
      <c r="AT71" s="439"/>
      <c r="AU71" s="439"/>
      <c r="AV71" s="439"/>
      <c r="AW71" s="439"/>
      <c r="AX71" s="439"/>
      <c r="AY71" s="439"/>
      <c r="AZ71" s="439"/>
      <c r="BA71" s="439"/>
      <c r="BB71" s="439"/>
      <c r="BC71" s="439"/>
      <c r="BD71" s="439"/>
      <c r="BE71" s="439"/>
      <c r="BF71" s="439"/>
      <c r="BG71" s="439"/>
      <c r="BH71" s="439"/>
      <c r="BI71" s="439"/>
      <c r="BJ71" s="439"/>
      <c r="BK71" s="439"/>
      <c r="BL71" s="439"/>
      <c r="BM71" s="439"/>
      <c r="BN71" s="439"/>
      <c r="BO71" s="439"/>
      <c r="BP71" s="439"/>
      <c r="BQ71" s="439"/>
      <c r="BR71" s="439"/>
      <c r="BS71" s="439"/>
      <c r="BT71" s="439"/>
      <c r="BU71" s="439"/>
      <c r="BV71" s="439"/>
      <c r="BW71" s="439"/>
      <c r="BX71" s="439"/>
      <c r="BY71" s="439"/>
      <c r="BZ71" s="439"/>
      <c r="CA71" s="439"/>
      <c r="CB71" s="439"/>
      <c r="CC71" s="439"/>
      <c r="CD71" s="439"/>
      <c r="CE71" s="439"/>
      <c r="CF71" s="439"/>
      <c r="CG71" s="439"/>
      <c r="CH71" s="439"/>
    </row>
    <row r="72" spans="1:86" s="440" customFormat="1" ht="70.150000000000006" customHeight="1" outlineLevel="1" x14ac:dyDescent="0.25">
      <c r="A72" s="439"/>
      <c r="B72" s="1647"/>
      <c r="C72" s="1639"/>
      <c r="D72" s="927" t="s">
        <v>122</v>
      </c>
      <c r="E72" s="964">
        <f>(40*0.17)</f>
        <v>6.8000000000000007</v>
      </c>
      <c r="F72" s="1681"/>
      <c r="G72" s="1682"/>
      <c r="H72" s="1683"/>
      <c r="I72" s="981">
        <f>E72</f>
        <v>6.8000000000000007</v>
      </c>
      <c r="J72" s="962">
        <v>2023</v>
      </c>
      <c r="K72" s="929" t="s">
        <v>931</v>
      </c>
      <c r="T72" s="439"/>
      <c r="U72" s="138"/>
      <c r="V72" s="439"/>
      <c r="W72" s="439"/>
      <c r="X72" s="439"/>
      <c r="Y72" s="439"/>
      <c r="Z72" s="439"/>
      <c r="AA72" s="439"/>
      <c r="AB72" s="439"/>
      <c r="AC72" s="439"/>
      <c r="AD72" s="439"/>
      <c r="AE72" s="439"/>
      <c r="AF72" s="138"/>
      <c r="AG72" s="439"/>
      <c r="AH72" s="439"/>
      <c r="AI72" s="439"/>
      <c r="AJ72" s="439"/>
      <c r="AK72" s="439"/>
      <c r="AL72" s="439"/>
      <c r="AM72" s="439"/>
      <c r="AN72" s="439"/>
      <c r="AO72" s="439"/>
      <c r="AP72" s="439"/>
      <c r="AQ72" s="439"/>
      <c r="AR72" s="439"/>
      <c r="AS72" s="439"/>
      <c r="AT72" s="439"/>
      <c r="AU72" s="439"/>
      <c r="AV72" s="439"/>
      <c r="AW72" s="439"/>
      <c r="AX72" s="439"/>
      <c r="AY72" s="439"/>
      <c r="AZ72" s="439"/>
      <c r="BA72" s="439"/>
      <c r="BB72" s="439"/>
      <c r="BC72" s="439"/>
      <c r="BD72" s="439"/>
      <c r="BE72" s="439"/>
      <c r="BF72" s="439"/>
      <c r="BG72" s="439"/>
      <c r="BH72" s="439"/>
      <c r="BI72" s="439"/>
      <c r="BJ72" s="439"/>
      <c r="BK72" s="439"/>
      <c r="BL72" s="439"/>
      <c r="BM72" s="439"/>
      <c r="BN72" s="439"/>
      <c r="BO72" s="439"/>
      <c r="BP72" s="439"/>
      <c r="BQ72" s="439"/>
      <c r="BR72" s="439"/>
      <c r="BS72" s="439"/>
      <c r="BT72" s="439"/>
      <c r="BU72" s="439"/>
      <c r="BV72" s="439"/>
      <c r="BW72" s="439"/>
      <c r="BX72" s="439"/>
      <c r="BY72" s="439"/>
      <c r="BZ72" s="439"/>
      <c r="CA72" s="439"/>
      <c r="CB72" s="439"/>
      <c r="CC72" s="439"/>
      <c r="CD72" s="439"/>
      <c r="CE72" s="439"/>
      <c r="CF72" s="439"/>
      <c r="CG72" s="439"/>
      <c r="CH72" s="439"/>
    </row>
    <row r="73" spans="1:86" s="440" customFormat="1" ht="70.150000000000006" customHeight="1" outlineLevel="1" x14ac:dyDescent="0.25">
      <c r="A73" s="439"/>
      <c r="B73" s="1647"/>
      <c r="C73" s="1639"/>
      <c r="D73" s="928" t="s">
        <v>120</v>
      </c>
      <c r="E73" s="957">
        <f>(E71/E72)</f>
        <v>0.10088235294117646</v>
      </c>
      <c r="F73" s="1672"/>
      <c r="G73" s="1673"/>
      <c r="H73" s="1674"/>
      <c r="I73" s="967">
        <f>(I71/I72)</f>
        <v>9.273529411764703E-3</v>
      </c>
      <c r="J73" s="962">
        <v>2025</v>
      </c>
      <c r="K73" s="929" t="s">
        <v>214</v>
      </c>
      <c r="T73" s="439"/>
      <c r="U73" s="138"/>
      <c r="V73" s="439"/>
      <c r="W73" s="439"/>
      <c r="X73" s="439"/>
      <c r="Y73" s="439"/>
      <c r="Z73" s="439"/>
      <c r="AA73" s="439"/>
      <c r="AB73" s="439"/>
      <c r="AC73" s="439"/>
      <c r="AD73" s="439"/>
      <c r="AE73" s="439"/>
      <c r="AF73" s="138"/>
      <c r="AG73" s="439"/>
      <c r="AH73" s="439"/>
      <c r="AI73" s="439"/>
      <c r="AJ73" s="439"/>
      <c r="AK73" s="439"/>
      <c r="AL73" s="439"/>
      <c r="AM73" s="439"/>
      <c r="AN73" s="439"/>
      <c r="AO73" s="439"/>
      <c r="AP73" s="439"/>
      <c r="AQ73" s="439"/>
      <c r="AR73" s="439"/>
      <c r="AS73" s="439"/>
      <c r="AT73" s="439"/>
      <c r="AU73" s="439"/>
      <c r="AV73" s="439"/>
      <c r="AW73" s="439"/>
      <c r="AX73" s="439"/>
      <c r="AY73" s="439"/>
      <c r="AZ73" s="439"/>
      <c r="BA73" s="439"/>
      <c r="BB73" s="439"/>
      <c r="BC73" s="439"/>
      <c r="BD73" s="439"/>
      <c r="BE73" s="439"/>
      <c r="BF73" s="439"/>
      <c r="BG73" s="439"/>
      <c r="BH73" s="439"/>
      <c r="BI73" s="439"/>
      <c r="BJ73" s="439"/>
      <c r="BK73" s="439"/>
      <c r="BL73" s="439"/>
      <c r="BM73" s="439"/>
      <c r="BN73" s="439"/>
      <c r="BO73" s="439"/>
      <c r="BP73" s="439"/>
      <c r="BQ73" s="439"/>
      <c r="BR73" s="439"/>
      <c r="BS73" s="439"/>
      <c r="BT73" s="439"/>
      <c r="BU73" s="439"/>
      <c r="BV73" s="439"/>
      <c r="BW73" s="439"/>
      <c r="BX73" s="439"/>
      <c r="BY73" s="439"/>
      <c r="BZ73" s="439"/>
      <c r="CA73" s="439"/>
      <c r="CB73" s="439"/>
      <c r="CC73" s="439"/>
      <c r="CD73" s="439"/>
      <c r="CE73" s="439"/>
      <c r="CF73" s="439"/>
      <c r="CG73" s="439"/>
      <c r="CH73" s="439"/>
    </row>
    <row r="74" spans="1:86" s="440" customFormat="1" ht="70.150000000000006" customHeight="1" outlineLevel="1" x14ac:dyDescent="0.25">
      <c r="A74" s="439"/>
      <c r="B74" s="1647"/>
      <c r="C74" s="1639"/>
      <c r="D74" s="927" t="s">
        <v>934</v>
      </c>
      <c r="E74" s="964">
        <f>(E71/(40*0.2))</f>
        <v>8.5750000000000007E-2</v>
      </c>
      <c r="F74" s="1076"/>
      <c r="G74" s="1077"/>
      <c r="H74" s="1077"/>
      <c r="I74" s="981">
        <f>I73</f>
        <v>9.273529411764703E-3</v>
      </c>
      <c r="J74" s="962">
        <v>2025</v>
      </c>
      <c r="K74" s="929" t="s">
        <v>932</v>
      </c>
      <c r="T74" s="439"/>
      <c r="U74" s="138"/>
      <c r="V74" s="439"/>
      <c r="W74" s="439"/>
      <c r="X74" s="439"/>
      <c r="Y74" s="439"/>
      <c r="Z74" s="439"/>
      <c r="AA74" s="439"/>
      <c r="AB74" s="439"/>
      <c r="AC74" s="439"/>
      <c r="AD74" s="439"/>
      <c r="AE74" s="439"/>
      <c r="AF74" s="138"/>
      <c r="AG74" s="439"/>
      <c r="AH74" s="439"/>
      <c r="AI74" s="439"/>
      <c r="AJ74" s="439"/>
      <c r="AK74" s="439"/>
      <c r="AL74" s="439"/>
      <c r="AM74" s="439"/>
      <c r="AN74" s="439"/>
      <c r="AO74" s="439"/>
      <c r="AP74" s="439"/>
      <c r="AQ74" s="439"/>
      <c r="AR74" s="439"/>
      <c r="AS74" s="439"/>
      <c r="AT74" s="439"/>
      <c r="AU74" s="439"/>
      <c r="AV74" s="439"/>
      <c r="AW74" s="439"/>
      <c r="AX74" s="439"/>
      <c r="AY74" s="439"/>
      <c r="AZ74" s="439"/>
      <c r="BA74" s="439"/>
      <c r="BB74" s="439"/>
      <c r="BC74" s="439"/>
      <c r="BD74" s="439"/>
      <c r="BE74" s="439"/>
      <c r="BF74" s="439"/>
      <c r="BG74" s="439"/>
      <c r="BH74" s="439"/>
      <c r="BI74" s="439"/>
      <c r="BJ74" s="439"/>
      <c r="BK74" s="439"/>
      <c r="BL74" s="439"/>
      <c r="BM74" s="439"/>
      <c r="BN74" s="439"/>
      <c r="BO74" s="439"/>
      <c r="BP74" s="439"/>
      <c r="BQ74" s="439"/>
      <c r="BR74" s="439"/>
      <c r="BS74" s="439"/>
      <c r="BT74" s="439"/>
      <c r="BU74" s="439"/>
      <c r="BV74" s="439"/>
      <c r="BW74" s="439"/>
      <c r="BX74" s="439"/>
      <c r="BY74" s="439"/>
      <c r="BZ74" s="439"/>
      <c r="CA74" s="439"/>
      <c r="CB74" s="439"/>
      <c r="CC74" s="439"/>
      <c r="CD74" s="439"/>
      <c r="CE74" s="439"/>
      <c r="CF74" s="439"/>
      <c r="CG74" s="439"/>
      <c r="CH74" s="439"/>
    </row>
    <row r="75" spans="1:86" s="440" customFormat="1" ht="70.150000000000006" customHeight="1" outlineLevel="1" x14ac:dyDescent="0.25">
      <c r="A75" s="439"/>
      <c r="B75" s="1647"/>
      <c r="C75" s="1639"/>
      <c r="D75" s="927" t="s">
        <v>935</v>
      </c>
      <c r="E75" s="960">
        <f>(E71/(40*0.33))</f>
        <v>5.1969696969696971E-2</v>
      </c>
      <c r="F75" s="1078"/>
      <c r="G75" s="1079"/>
      <c r="H75" s="1079"/>
      <c r="I75" s="981">
        <f>I73</f>
        <v>9.273529411764703E-3</v>
      </c>
      <c r="J75" s="962">
        <v>2025</v>
      </c>
      <c r="K75" s="929" t="s">
        <v>933</v>
      </c>
      <c r="T75" s="439"/>
      <c r="U75" s="138"/>
      <c r="V75" s="439"/>
      <c r="W75" s="439"/>
      <c r="X75" s="439"/>
      <c r="Y75" s="439"/>
      <c r="Z75" s="439"/>
      <c r="AA75" s="439"/>
      <c r="AB75" s="439"/>
      <c r="AC75" s="439"/>
      <c r="AD75" s="439"/>
      <c r="AE75" s="439"/>
      <c r="AF75" s="138"/>
      <c r="AG75" s="439"/>
      <c r="AH75" s="439"/>
      <c r="AI75" s="439"/>
      <c r="AJ75" s="439"/>
      <c r="AK75" s="439"/>
      <c r="AL75" s="439"/>
      <c r="AM75" s="439"/>
      <c r="AN75" s="439"/>
      <c r="AO75" s="439"/>
      <c r="AP75" s="439"/>
      <c r="AQ75" s="439"/>
      <c r="AR75" s="439"/>
      <c r="AS75" s="439"/>
      <c r="AT75" s="439"/>
      <c r="AU75" s="439"/>
      <c r="AV75" s="439"/>
      <c r="AW75" s="439"/>
      <c r="AX75" s="439"/>
      <c r="AY75" s="439"/>
      <c r="AZ75" s="439"/>
      <c r="BA75" s="439"/>
      <c r="BB75" s="439"/>
      <c r="BC75" s="439"/>
      <c r="BD75" s="439"/>
      <c r="BE75" s="439"/>
      <c r="BF75" s="439"/>
      <c r="BG75" s="439"/>
      <c r="BH75" s="439"/>
      <c r="BI75" s="439"/>
      <c r="BJ75" s="439"/>
      <c r="BK75" s="439"/>
      <c r="BL75" s="439"/>
      <c r="BM75" s="439"/>
      <c r="BN75" s="439"/>
      <c r="BO75" s="439"/>
      <c r="BP75" s="439"/>
      <c r="BQ75" s="439"/>
      <c r="BR75" s="439"/>
      <c r="BS75" s="439"/>
      <c r="BT75" s="439"/>
      <c r="BU75" s="439"/>
      <c r="BV75" s="439"/>
      <c r="BW75" s="439"/>
      <c r="BX75" s="439"/>
      <c r="BY75" s="439"/>
      <c r="BZ75" s="439"/>
      <c r="CA75" s="439"/>
      <c r="CB75" s="439"/>
      <c r="CC75" s="439"/>
      <c r="CD75" s="439"/>
      <c r="CE75" s="439"/>
      <c r="CF75" s="439"/>
      <c r="CG75" s="439"/>
      <c r="CH75" s="439"/>
    </row>
    <row r="76" spans="1:86" s="441" customFormat="1" ht="70.150000000000006" customHeight="1" outlineLevel="1" x14ac:dyDescent="0.25">
      <c r="A76" s="404"/>
      <c r="B76" s="1647"/>
      <c r="C76" s="1639" t="s">
        <v>929</v>
      </c>
      <c r="D76" s="927" t="s">
        <v>250</v>
      </c>
      <c r="E76" s="960">
        <v>0.58199999999999996</v>
      </c>
      <c r="F76" s="1693"/>
      <c r="G76" s="1694"/>
      <c r="H76" s="1695"/>
      <c r="I76" s="958">
        <f>(1.129*0.06)</f>
        <v>6.7739999999999995E-2</v>
      </c>
      <c r="J76" s="962">
        <v>2021</v>
      </c>
      <c r="K76" s="963" t="s">
        <v>450</v>
      </c>
      <c r="T76" s="404"/>
      <c r="U76" s="753"/>
      <c r="V76" s="404"/>
      <c r="W76" s="404"/>
      <c r="X76" s="404"/>
      <c r="Y76" s="404"/>
      <c r="Z76" s="404"/>
      <c r="AA76" s="404"/>
      <c r="AB76" s="404"/>
      <c r="AC76" s="404"/>
      <c r="AD76" s="404"/>
      <c r="AE76" s="404"/>
      <c r="AF76" s="753"/>
      <c r="AG76" s="404"/>
      <c r="AH76" s="404"/>
      <c r="AI76" s="404"/>
      <c r="AJ76" s="404"/>
      <c r="AK76" s="404"/>
      <c r="AL76" s="404"/>
      <c r="AM76" s="404"/>
      <c r="AN76" s="404"/>
      <c r="AO76" s="404"/>
      <c r="AP76" s="404"/>
      <c r="AQ76" s="404"/>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c r="BO76" s="404"/>
      <c r="BP76" s="404"/>
      <c r="BQ76" s="404"/>
      <c r="BR76" s="404"/>
      <c r="BS76" s="404"/>
      <c r="BT76" s="404"/>
      <c r="BU76" s="404"/>
      <c r="BV76" s="404"/>
      <c r="BW76" s="404"/>
      <c r="BX76" s="404"/>
      <c r="BY76" s="404"/>
      <c r="BZ76" s="404"/>
      <c r="CA76" s="404"/>
      <c r="CB76" s="404"/>
      <c r="CC76" s="404"/>
      <c r="CD76" s="404"/>
      <c r="CE76" s="404"/>
      <c r="CF76" s="404"/>
      <c r="CG76" s="404"/>
      <c r="CH76" s="404"/>
    </row>
    <row r="77" spans="1:86" s="441" customFormat="1" ht="70.150000000000006" customHeight="1" outlineLevel="1" x14ac:dyDescent="0.25">
      <c r="A77" s="404"/>
      <c r="B77" s="1647"/>
      <c r="C77" s="1639"/>
      <c r="D77" s="927" t="s">
        <v>122</v>
      </c>
      <c r="E77" s="964">
        <f>(40*0.17)</f>
        <v>6.8000000000000007</v>
      </c>
      <c r="F77" s="1693"/>
      <c r="G77" s="1694"/>
      <c r="H77" s="1695"/>
      <c r="I77" s="981">
        <f>(40*0.17)</f>
        <v>6.8000000000000007</v>
      </c>
      <c r="J77" s="962">
        <v>2023</v>
      </c>
      <c r="K77" s="929" t="s">
        <v>931</v>
      </c>
      <c r="T77" s="404"/>
      <c r="U77" s="753"/>
      <c r="V77" s="404"/>
      <c r="W77" s="404"/>
      <c r="X77" s="404"/>
      <c r="Y77" s="404"/>
      <c r="Z77" s="404"/>
      <c r="AA77" s="404"/>
      <c r="AB77" s="404"/>
      <c r="AC77" s="404"/>
      <c r="AD77" s="404"/>
      <c r="AE77" s="404"/>
      <c r="AF77" s="753"/>
      <c r="AG77" s="404"/>
      <c r="AH77" s="404"/>
      <c r="AI77" s="404"/>
      <c r="AJ77" s="404"/>
      <c r="AK77" s="404"/>
      <c r="AL77" s="404"/>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c r="BO77" s="404"/>
      <c r="BP77" s="404"/>
      <c r="BQ77" s="404"/>
      <c r="BR77" s="404"/>
      <c r="BS77" s="404"/>
      <c r="BT77" s="404"/>
      <c r="BU77" s="404"/>
      <c r="BV77" s="404"/>
      <c r="BW77" s="404"/>
      <c r="BX77" s="404"/>
      <c r="BY77" s="404"/>
      <c r="BZ77" s="404"/>
      <c r="CA77" s="404"/>
      <c r="CB77" s="404"/>
      <c r="CC77" s="404"/>
      <c r="CD77" s="404"/>
      <c r="CE77" s="404"/>
      <c r="CF77" s="404"/>
      <c r="CG77" s="404"/>
      <c r="CH77" s="404"/>
    </row>
    <row r="78" spans="1:86" s="441" customFormat="1" ht="70.150000000000006" customHeight="1" outlineLevel="1" x14ac:dyDescent="0.25">
      <c r="A78" s="404"/>
      <c r="B78" s="1647"/>
      <c r="C78" s="1639"/>
      <c r="D78" s="928" t="s">
        <v>120</v>
      </c>
      <c r="E78" s="957">
        <f>(E76/E77)</f>
        <v>8.5588235294117632E-2</v>
      </c>
      <c r="F78" s="1693"/>
      <c r="G78" s="1694"/>
      <c r="H78" s="1695"/>
      <c r="I78" s="967">
        <f>(I76/I77)</f>
        <v>9.9617647058823505E-3</v>
      </c>
      <c r="J78" s="962">
        <v>2025</v>
      </c>
      <c r="K78" s="929" t="s">
        <v>214</v>
      </c>
      <c r="T78" s="404"/>
      <c r="U78" s="753"/>
      <c r="V78" s="404"/>
      <c r="W78" s="404"/>
      <c r="X78" s="404"/>
      <c r="Y78" s="404"/>
      <c r="Z78" s="404"/>
      <c r="AA78" s="404"/>
      <c r="AB78" s="404"/>
      <c r="AC78" s="404"/>
      <c r="AD78" s="404"/>
      <c r="AE78" s="404"/>
      <c r="AF78" s="753"/>
      <c r="AG78" s="404"/>
      <c r="AH78" s="404"/>
      <c r="AI78" s="404"/>
      <c r="AJ78" s="404"/>
      <c r="AK78" s="404"/>
      <c r="AL78" s="404"/>
      <c r="AM78" s="404"/>
      <c r="AN78" s="404"/>
      <c r="AO78" s="404"/>
      <c r="AP78" s="404"/>
      <c r="AQ78" s="404"/>
      <c r="AR78" s="404"/>
      <c r="AS78" s="404"/>
      <c r="AT78" s="404"/>
      <c r="AU78" s="404"/>
      <c r="AV78" s="404"/>
      <c r="AW78" s="404"/>
      <c r="AX78" s="404"/>
      <c r="AY78" s="404"/>
      <c r="AZ78" s="404"/>
      <c r="BA78" s="404"/>
      <c r="BB78" s="404"/>
      <c r="BC78" s="404"/>
      <c r="BD78" s="404"/>
      <c r="BE78" s="404"/>
      <c r="BF78" s="404"/>
      <c r="BG78" s="404"/>
      <c r="BH78" s="404"/>
      <c r="BI78" s="404"/>
      <c r="BJ78" s="404"/>
      <c r="BK78" s="404"/>
      <c r="BL78" s="404"/>
      <c r="BM78" s="404"/>
      <c r="BN78" s="404"/>
      <c r="BO78" s="404"/>
      <c r="BP78" s="404"/>
      <c r="BQ78" s="404"/>
      <c r="BR78" s="404"/>
      <c r="BS78" s="404"/>
      <c r="BT78" s="404"/>
      <c r="BU78" s="404"/>
      <c r="BV78" s="404"/>
      <c r="BW78" s="404"/>
      <c r="BX78" s="404"/>
      <c r="BY78" s="404"/>
      <c r="BZ78" s="404"/>
      <c r="CA78" s="404"/>
      <c r="CB78" s="404"/>
      <c r="CC78" s="404"/>
      <c r="CD78" s="404"/>
      <c r="CE78" s="404"/>
      <c r="CF78" s="404"/>
      <c r="CG78" s="404"/>
      <c r="CH78" s="404"/>
    </row>
    <row r="79" spans="1:86" s="441" customFormat="1" ht="70.150000000000006" customHeight="1" outlineLevel="1" x14ac:dyDescent="0.25">
      <c r="A79" s="404"/>
      <c r="B79" s="1647"/>
      <c r="C79" s="1639"/>
      <c r="D79" s="927" t="s">
        <v>934</v>
      </c>
      <c r="E79" s="960">
        <f>(E76/(40*0.2))</f>
        <v>7.2749999999999995E-2</v>
      </c>
      <c r="F79" s="977"/>
      <c r="G79" s="978"/>
      <c r="H79" s="979"/>
      <c r="I79" s="981">
        <f>I78</f>
        <v>9.9617647058823505E-3</v>
      </c>
      <c r="J79" s="962">
        <v>2025</v>
      </c>
      <c r="K79" s="929" t="s">
        <v>932</v>
      </c>
      <c r="T79" s="404"/>
      <c r="U79" s="753"/>
      <c r="V79" s="404"/>
      <c r="W79" s="404"/>
      <c r="X79" s="404"/>
      <c r="Y79" s="404"/>
      <c r="Z79" s="404"/>
      <c r="AA79" s="404"/>
      <c r="AB79" s="404"/>
      <c r="AC79" s="404"/>
      <c r="AD79" s="404"/>
      <c r="AE79" s="404"/>
      <c r="AF79" s="753"/>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c r="BO79" s="404"/>
      <c r="BP79" s="404"/>
      <c r="BQ79" s="404"/>
      <c r="BR79" s="404"/>
      <c r="BS79" s="404"/>
      <c r="BT79" s="404"/>
      <c r="BU79" s="404"/>
      <c r="BV79" s="404"/>
      <c r="BW79" s="404"/>
      <c r="BX79" s="404"/>
      <c r="BY79" s="404"/>
      <c r="BZ79" s="404"/>
      <c r="CA79" s="404"/>
      <c r="CB79" s="404"/>
      <c r="CC79" s="404"/>
      <c r="CD79" s="404"/>
      <c r="CE79" s="404"/>
      <c r="CF79" s="404"/>
      <c r="CG79" s="404"/>
      <c r="CH79" s="404"/>
    </row>
    <row r="80" spans="1:86" s="441" customFormat="1" ht="70.150000000000006" customHeight="1" outlineLevel="1" x14ac:dyDescent="0.25">
      <c r="A80" s="404"/>
      <c r="B80" s="1647"/>
      <c r="C80" s="1639"/>
      <c r="D80" s="927" t="s">
        <v>935</v>
      </c>
      <c r="E80" s="960">
        <f>(E76/(40*0.33))</f>
        <v>4.4090909090909083E-2</v>
      </c>
      <c r="F80" s="1693"/>
      <c r="G80" s="1694"/>
      <c r="H80" s="1695"/>
      <c r="I80" s="981">
        <f>I78</f>
        <v>9.9617647058823505E-3</v>
      </c>
      <c r="J80" s="962">
        <v>2025</v>
      </c>
      <c r="K80" s="929" t="s">
        <v>933</v>
      </c>
      <c r="T80" s="404"/>
      <c r="U80" s="753"/>
      <c r="V80" s="404"/>
      <c r="W80" s="404"/>
      <c r="X80" s="404"/>
      <c r="Y80" s="404"/>
      <c r="Z80" s="404"/>
      <c r="AA80" s="404"/>
      <c r="AB80" s="404"/>
      <c r="AC80" s="404"/>
      <c r="AD80" s="404"/>
      <c r="AE80" s="404"/>
      <c r="AF80" s="753"/>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404"/>
      <c r="CB80" s="404"/>
      <c r="CC80" s="404"/>
      <c r="CD80" s="404"/>
      <c r="CE80" s="404"/>
      <c r="CF80" s="404"/>
      <c r="CG80" s="404"/>
      <c r="CH80" s="404"/>
    </row>
    <row r="81" spans="1:86" s="441" customFormat="1" ht="70.150000000000006" customHeight="1" outlineLevel="1" x14ac:dyDescent="0.25">
      <c r="A81" s="404"/>
      <c r="B81" s="1647"/>
      <c r="C81" s="1700" t="s">
        <v>369</v>
      </c>
      <c r="D81" s="927" t="s">
        <v>250</v>
      </c>
      <c r="E81" s="960">
        <v>1.641</v>
      </c>
      <c r="F81" s="977"/>
      <c r="G81" s="978"/>
      <c r="H81" s="978"/>
      <c r="I81" s="979"/>
      <c r="J81" s="962">
        <v>2021</v>
      </c>
      <c r="K81" s="963" t="s">
        <v>450</v>
      </c>
      <c r="T81" s="404"/>
      <c r="U81" s="753"/>
      <c r="V81" s="404"/>
      <c r="W81" s="404"/>
      <c r="X81" s="404"/>
      <c r="Y81" s="404"/>
      <c r="Z81" s="404"/>
      <c r="AA81" s="404"/>
      <c r="AB81" s="404"/>
      <c r="AC81" s="404"/>
      <c r="AD81" s="404"/>
      <c r="AE81" s="404"/>
      <c r="AF81" s="753"/>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c r="BC81" s="404"/>
      <c r="BD81" s="404"/>
      <c r="BE81" s="404"/>
      <c r="BF81" s="404"/>
      <c r="BG81" s="404"/>
      <c r="BH81" s="404"/>
      <c r="BI81" s="404"/>
      <c r="BJ81" s="404"/>
      <c r="BK81" s="404"/>
      <c r="BL81" s="404"/>
      <c r="BM81" s="404"/>
      <c r="BN81" s="404"/>
      <c r="BO81" s="404"/>
      <c r="BP81" s="404"/>
      <c r="BQ81" s="404"/>
      <c r="BR81" s="404"/>
      <c r="BS81" s="404"/>
      <c r="BT81" s="404"/>
      <c r="BU81" s="404"/>
      <c r="BV81" s="404"/>
      <c r="BW81" s="404"/>
      <c r="BX81" s="404"/>
      <c r="BY81" s="404"/>
      <c r="BZ81" s="404"/>
      <c r="CA81" s="404"/>
      <c r="CB81" s="404"/>
      <c r="CC81" s="404"/>
      <c r="CD81" s="404"/>
      <c r="CE81" s="404"/>
      <c r="CF81" s="404"/>
      <c r="CG81" s="404"/>
      <c r="CH81" s="404"/>
    </row>
    <row r="82" spans="1:86" s="441" customFormat="1" ht="70.150000000000006" customHeight="1" outlineLevel="1" x14ac:dyDescent="0.25">
      <c r="A82" s="404"/>
      <c r="B82" s="1647"/>
      <c r="C82" s="1701"/>
      <c r="D82" s="927" t="s">
        <v>122</v>
      </c>
      <c r="E82" s="964">
        <f>(130*0.17)</f>
        <v>22.1</v>
      </c>
      <c r="F82" s="977"/>
      <c r="G82" s="978"/>
      <c r="H82" s="978"/>
      <c r="I82" s="979"/>
      <c r="J82" s="962">
        <v>2023</v>
      </c>
      <c r="K82" s="929" t="s">
        <v>931</v>
      </c>
      <c r="T82" s="404"/>
      <c r="U82" s="753"/>
      <c r="V82" s="404"/>
      <c r="W82" s="404"/>
      <c r="X82" s="404"/>
      <c r="Y82" s="404"/>
      <c r="Z82" s="404"/>
      <c r="AA82" s="404"/>
      <c r="AB82" s="404"/>
      <c r="AC82" s="404"/>
      <c r="AD82" s="404"/>
      <c r="AE82" s="404"/>
      <c r="AF82" s="753"/>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c r="BO82" s="404"/>
      <c r="BP82" s="404"/>
      <c r="BQ82" s="404"/>
      <c r="BR82" s="404"/>
      <c r="BS82" s="404"/>
      <c r="BT82" s="404"/>
      <c r="BU82" s="404"/>
      <c r="BV82" s="404"/>
      <c r="BW82" s="404"/>
      <c r="BX82" s="404"/>
      <c r="BY82" s="404"/>
      <c r="BZ82" s="404"/>
      <c r="CA82" s="404"/>
      <c r="CB82" s="404"/>
      <c r="CC82" s="404"/>
      <c r="CD82" s="404"/>
      <c r="CE82" s="404"/>
      <c r="CF82" s="404"/>
      <c r="CG82" s="404"/>
      <c r="CH82" s="404"/>
    </row>
    <row r="83" spans="1:86" s="441" customFormat="1" ht="70.150000000000006" customHeight="1" outlineLevel="1" x14ac:dyDescent="0.25">
      <c r="A83" s="404"/>
      <c r="B83" s="1647"/>
      <c r="C83" s="1701"/>
      <c r="D83" s="928" t="s">
        <v>120</v>
      </c>
      <c r="E83" s="957">
        <f>(E81/E82)</f>
        <v>7.4253393665158374E-2</v>
      </c>
      <c r="F83" s="1693"/>
      <c r="G83" s="1694"/>
      <c r="H83" s="1695"/>
      <c r="I83" s="969">
        <f>(3.65/1000)</f>
        <v>3.65E-3</v>
      </c>
      <c r="J83" s="962">
        <v>2025</v>
      </c>
      <c r="K83" s="929" t="s">
        <v>214</v>
      </c>
      <c r="T83" s="404"/>
      <c r="U83" s="753"/>
      <c r="V83" s="404"/>
      <c r="W83" s="404"/>
      <c r="X83" s="404"/>
      <c r="Y83" s="404"/>
      <c r="Z83" s="404"/>
      <c r="AA83" s="404"/>
      <c r="AB83" s="404"/>
      <c r="AC83" s="404"/>
      <c r="AD83" s="404"/>
      <c r="AE83" s="404"/>
      <c r="AF83" s="753"/>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c r="BS83" s="404"/>
      <c r="BT83" s="404"/>
      <c r="BU83" s="404"/>
      <c r="BV83" s="404"/>
      <c r="BW83" s="404"/>
      <c r="BX83" s="404"/>
      <c r="BY83" s="404"/>
      <c r="BZ83" s="404"/>
      <c r="CA83" s="404"/>
      <c r="CB83" s="404"/>
      <c r="CC83" s="404"/>
      <c r="CD83" s="404"/>
      <c r="CE83" s="404"/>
      <c r="CF83" s="404"/>
      <c r="CG83" s="404"/>
      <c r="CH83" s="404"/>
    </row>
    <row r="84" spans="1:86" s="441" customFormat="1" ht="70.150000000000006" customHeight="1" outlineLevel="1" x14ac:dyDescent="0.25">
      <c r="A84" s="404"/>
      <c r="B84" s="1647"/>
      <c r="C84" s="1701"/>
      <c r="D84" s="927" t="s">
        <v>934</v>
      </c>
      <c r="E84" s="960">
        <f>(E81/(130*0.2))</f>
        <v>6.3115384615384615E-2</v>
      </c>
      <c r="F84" s="1693"/>
      <c r="G84" s="1694"/>
      <c r="H84" s="1695"/>
      <c r="I84" s="981">
        <f>I83</f>
        <v>3.65E-3</v>
      </c>
      <c r="J84" s="962">
        <v>2025</v>
      </c>
      <c r="K84" s="929" t="s">
        <v>932</v>
      </c>
      <c r="T84" s="404"/>
      <c r="U84" s="753"/>
      <c r="V84" s="404"/>
      <c r="W84" s="404"/>
      <c r="X84" s="404"/>
      <c r="Y84" s="404"/>
      <c r="Z84" s="404"/>
      <c r="AA84" s="404"/>
      <c r="AB84" s="404"/>
      <c r="AC84" s="404"/>
      <c r="AD84" s="404"/>
      <c r="AE84" s="404"/>
      <c r="AF84" s="753"/>
      <c r="AG84" s="404"/>
      <c r="AH84" s="404"/>
      <c r="AI84" s="404"/>
      <c r="AJ84" s="404"/>
      <c r="AK84" s="404"/>
      <c r="AL84" s="404"/>
      <c r="AM84" s="404"/>
      <c r="AN84" s="404"/>
      <c r="AO84" s="404"/>
      <c r="AP84" s="404"/>
      <c r="AQ84" s="404"/>
      <c r="AR84" s="404"/>
      <c r="AS84" s="404"/>
      <c r="AT84" s="404"/>
      <c r="AU84" s="404"/>
      <c r="AV84" s="404"/>
      <c r="AW84" s="404"/>
      <c r="AX84" s="404"/>
      <c r="AY84" s="404"/>
      <c r="AZ84" s="404"/>
      <c r="BA84" s="404"/>
      <c r="BB84" s="404"/>
      <c r="BC84" s="404"/>
      <c r="BD84" s="404"/>
      <c r="BE84" s="404"/>
      <c r="BF84" s="404"/>
      <c r="BG84" s="404"/>
      <c r="BH84" s="404"/>
      <c r="BI84" s="404"/>
      <c r="BJ84" s="404"/>
      <c r="BK84" s="404"/>
      <c r="BL84" s="404"/>
      <c r="BM84" s="404"/>
      <c r="BN84" s="404"/>
      <c r="BO84" s="404"/>
      <c r="BP84" s="404"/>
      <c r="BQ84" s="404"/>
      <c r="BR84" s="404"/>
      <c r="BS84" s="404"/>
      <c r="BT84" s="404"/>
      <c r="BU84" s="404"/>
      <c r="BV84" s="404"/>
      <c r="BW84" s="404"/>
      <c r="BX84" s="404"/>
      <c r="BY84" s="404"/>
      <c r="BZ84" s="404"/>
      <c r="CA84" s="404"/>
      <c r="CB84" s="404"/>
      <c r="CC84" s="404"/>
      <c r="CD84" s="404"/>
      <c r="CE84" s="404"/>
      <c r="CF84" s="404"/>
      <c r="CG84" s="404"/>
      <c r="CH84" s="404"/>
    </row>
    <row r="85" spans="1:86" s="441" customFormat="1" ht="70.150000000000006" customHeight="1" outlineLevel="1" x14ac:dyDescent="0.25">
      <c r="A85" s="404"/>
      <c r="B85" s="1647"/>
      <c r="C85" s="1702"/>
      <c r="D85" s="927" t="s">
        <v>935</v>
      </c>
      <c r="E85" s="960">
        <f>(E81/(130*0.33))</f>
        <v>3.8251748251748256E-2</v>
      </c>
      <c r="F85" s="1693"/>
      <c r="G85" s="1694"/>
      <c r="H85" s="1695"/>
      <c r="I85" s="981">
        <f>I83</f>
        <v>3.65E-3</v>
      </c>
      <c r="J85" s="962">
        <v>2025</v>
      </c>
      <c r="K85" s="929" t="s">
        <v>933</v>
      </c>
      <c r="T85" s="404"/>
      <c r="U85" s="753"/>
      <c r="V85" s="404"/>
      <c r="W85" s="404"/>
      <c r="X85" s="404"/>
      <c r="Y85" s="404"/>
      <c r="Z85" s="404"/>
      <c r="AA85" s="404"/>
      <c r="AB85" s="404"/>
      <c r="AC85" s="404"/>
      <c r="AD85" s="404"/>
      <c r="AE85" s="404"/>
      <c r="AF85" s="753"/>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c r="BS85" s="404"/>
      <c r="BT85" s="404"/>
      <c r="BU85" s="404"/>
      <c r="BV85" s="404"/>
      <c r="BW85" s="404"/>
      <c r="BX85" s="404"/>
      <c r="BY85" s="404"/>
      <c r="BZ85" s="404"/>
      <c r="CA85" s="404"/>
      <c r="CB85" s="404"/>
      <c r="CC85" s="404"/>
      <c r="CD85" s="404"/>
      <c r="CE85" s="404"/>
      <c r="CF85" s="404"/>
      <c r="CG85" s="404"/>
      <c r="CH85" s="404"/>
    </row>
    <row r="86" spans="1:86" s="441" customFormat="1" ht="70.150000000000006" customHeight="1" outlineLevel="1" x14ac:dyDescent="0.25">
      <c r="A86" s="404"/>
      <c r="B86" s="1647"/>
      <c r="C86" s="1700" t="s">
        <v>370</v>
      </c>
      <c r="D86" s="927" t="s">
        <v>250</v>
      </c>
      <c r="E86" s="960">
        <v>1.452</v>
      </c>
      <c r="F86" s="1693"/>
      <c r="G86" s="1694"/>
      <c r="H86" s="1694"/>
      <c r="I86" s="1695"/>
      <c r="J86" s="962">
        <v>2021</v>
      </c>
      <c r="K86" s="963" t="s">
        <v>450</v>
      </c>
      <c r="T86" s="404"/>
      <c r="U86" s="753"/>
      <c r="V86" s="404"/>
      <c r="W86" s="404"/>
      <c r="X86" s="404"/>
      <c r="Y86" s="404"/>
      <c r="Z86" s="404"/>
      <c r="AA86" s="404"/>
      <c r="AB86" s="404"/>
      <c r="AC86" s="404"/>
      <c r="AD86" s="404"/>
      <c r="AE86" s="404"/>
      <c r="AF86" s="753"/>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c r="BS86" s="404"/>
      <c r="BT86" s="404"/>
      <c r="BU86" s="404"/>
      <c r="BV86" s="404"/>
      <c r="BW86" s="404"/>
      <c r="BX86" s="404"/>
      <c r="BY86" s="404"/>
      <c r="BZ86" s="404"/>
      <c r="CA86" s="404"/>
      <c r="CB86" s="404"/>
      <c r="CC86" s="404"/>
      <c r="CD86" s="404"/>
      <c r="CE86" s="404"/>
      <c r="CF86" s="404"/>
      <c r="CG86" s="404"/>
      <c r="CH86" s="404"/>
    </row>
    <row r="87" spans="1:86" s="441" customFormat="1" ht="70.150000000000006" customHeight="1" outlineLevel="1" x14ac:dyDescent="0.25">
      <c r="A87" s="404"/>
      <c r="B87" s="1647"/>
      <c r="C87" s="1701"/>
      <c r="D87" s="927" t="s">
        <v>122</v>
      </c>
      <c r="E87" s="964">
        <f>(130*0.17)</f>
        <v>22.1</v>
      </c>
      <c r="F87" s="1693"/>
      <c r="G87" s="1694"/>
      <c r="H87" s="1694"/>
      <c r="I87" s="1695"/>
      <c r="J87" s="962">
        <v>2023</v>
      </c>
      <c r="K87" s="929" t="s">
        <v>931</v>
      </c>
      <c r="T87" s="404"/>
      <c r="U87" s="753"/>
      <c r="V87" s="404"/>
      <c r="W87" s="404"/>
      <c r="X87" s="404"/>
      <c r="Y87" s="404"/>
      <c r="Z87" s="404"/>
      <c r="AA87" s="404"/>
      <c r="AB87" s="404"/>
      <c r="AC87" s="404"/>
      <c r="AD87" s="404"/>
      <c r="AE87" s="404"/>
      <c r="AF87" s="753"/>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c r="BS87" s="404"/>
      <c r="BT87" s="404"/>
      <c r="BU87" s="404"/>
      <c r="BV87" s="404"/>
      <c r="BW87" s="404"/>
      <c r="BX87" s="404"/>
      <c r="BY87" s="404"/>
      <c r="BZ87" s="404"/>
      <c r="CA87" s="404"/>
      <c r="CB87" s="404"/>
      <c r="CC87" s="404"/>
      <c r="CD87" s="404"/>
      <c r="CE87" s="404"/>
      <c r="CF87" s="404"/>
      <c r="CG87" s="404"/>
      <c r="CH87" s="404"/>
    </row>
    <row r="88" spans="1:86" s="441" customFormat="1" ht="70.150000000000006" customHeight="1" outlineLevel="1" x14ac:dyDescent="0.25">
      <c r="A88" s="404"/>
      <c r="B88" s="1647"/>
      <c r="C88" s="1701"/>
      <c r="D88" s="928" t="s">
        <v>120</v>
      </c>
      <c r="E88" s="957">
        <f>(E86/E87)</f>
        <v>6.5701357466063343E-2</v>
      </c>
      <c r="F88" s="1693"/>
      <c r="G88" s="1694"/>
      <c r="H88" s="1695"/>
      <c r="I88" s="969">
        <f>(3.65/1000)</f>
        <v>3.65E-3</v>
      </c>
      <c r="J88" s="962">
        <v>2025</v>
      </c>
      <c r="K88" s="929" t="s">
        <v>214</v>
      </c>
      <c r="T88" s="404"/>
      <c r="U88" s="753"/>
      <c r="V88" s="404"/>
      <c r="W88" s="404"/>
      <c r="X88" s="404"/>
      <c r="Y88" s="404"/>
      <c r="Z88" s="404"/>
      <c r="AA88" s="404"/>
      <c r="AB88" s="404"/>
      <c r="AC88" s="404"/>
      <c r="AD88" s="404"/>
      <c r="AE88" s="404"/>
      <c r="AF88" s="753"/>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c r="BS88" s="404"/>
      <c r="BT88" s="404"/>
      <c r="BU88" s="404"/>
      <c r="BV88" s="404"/>
      <c r="BW88" s="404"/>
      <c r="BX88" s="404"/>
      <c r="BY88" s="404"/>
      <c r="BZ88" s="404"/>
      <c r="CA88" s="404"/>
      <c r="CB88" s="404"/>
      <c r="CC88" s="404"/>
      <c r="CD88" s="404"/>
      <c r="CE88" s="404"/>
      <c r="CF88" s="404"/>
      <c r="CG88" s="404"/>
      <c r="CH88" s="404"/>
    </row>
    <row r="89" spans="1:86" s="441" customFormat="1" ht="70.150000000000006" customHeight="1" outlineLevel="1" x14ac:dyDescent="0.25">
      <c r="A89" s="404"/>
      <c r="B89" s="1647"/>
      <c r="C89" s="1701"/>
      <c r="D89" s="927" t="s">
        <v>934</v>
      </c>
      <c r="E89" s="960">
        <f>(E86/(130*0.2))</f>
        <v>5.5846153846153844E-2</v>
      </c>
      <c r="F89" s="1693"/>
      <c r="G89" s="1694"/>
      <c r="H89" s="1695"/>
      <c r="I89" s="958">
        <f>I88</f>
        <v>3.65E-3</v>
      </c>
      <c r="J89" s="962">
        <v>2025</v>
      </c>
      <c r="K89" s="929" t="s">
        <v>932</v>
      </c>
      <c r="T89" s="404"/>
      <c r="U89" s="753"/>
      <c r="V89" s="404"/>
      <c r="W89" s="404"/>
      <c r="X89" s="404"/>
      <c r="Y89" s="404"/>
      <c r="Z89" s="404"/>
      <c r="AA89" s="404"/>
      <c r="AB89" s="404"/>
      <c r="AC89" s="404"/>
      <c r="AD89" s="404"/>
      <c r="AE89" s="404"/>
      <c r="AF89" s="753"/>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c r="BS89" s="404"/>
      <c r="BT89" s="404"/>
      <c r="BU89" s="404"/>
      <c r="BV89" s="404"/>
      <c r="BW89" s="404"/>
      <c r="BX89" s="404"/>
      <c r="BY89" s="404"/>
      <c r="BZ89" s="404"/>
      <c r="CA89" s="404"/>
      <c r="CB89" s="404"/>
      <c r="CC89" s="404"/>
      <c r="CD89" s="404"/>
      <c r="CE89" s="404"/>
      <c r="CF89" s="404"/>
      <c r="CG89" s="404"/>
      <c r="CH89" s="404"/>
    </row>
    <row r="90" spans="1:86" s="441" customFormat="1" ht="70.150000000000006" customHeight="1" outlineLevel="1" x14ac:dyDescent="0.25">
      <c r="A90" s="404"/>
      <c r="B90" s="1648"/>
      <c r="C90" s="1702"/>
      <c r="D90" s="927" t="s">
        <v>935</v>
      </c>
      <c r="E90" s="960">
        <f>(E86/(130*0.33))</f>
        <v>3.3846153846153845E-2</v>
      </c>
      <c r="F90" s="1693"/>
      <c r="G90" s="1694"/>
      <c r="H90" s="1695"/>
      <c r="I90" s="958">
        <f>I88</f>
        <v>3.65E-3</v>
      </c>
      <c r="J90" s="962">
        <v>2025</v>
      </c>
      <c r="K90" s="929" t="s">
        <v>933</v>
      </c>
      <c r="T90" s="404"/>
      <c r="U90" s="753"/>
      <c r="V90" s="404"/>
      <c r="W90" s="404"/>
      <c r="X90" s="404"/>
      <c r="Y90" s="404"/>
      <c r="Z90" s="404"/>
      <c r="AA90" s="404"/>
      <c r="AB90" s="404"/>
      <c r="AC90" s="404"/>
      <c r="AD90" s="404"/>
      <c r="AE90" s="404"/>
      <c r="AF90" s="753"/>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c r="BS90" s="404"/>
      <c r="BT90" s="404"/>
      <c r="BU90" s="404"/>
      <c r="BV90" s="404"/>
      <c r="BW90" s="404"/>
      <c r="BX90" s="404"/>
      <c r="BY90" s="404"/>
      <c r="BZ90" s="404"/>
      <c r="CA90" s="404"/>
      <c r="CB90" s="404"/>
      <c r="CC90" s="404"/>
      <c r="CD90" s="404"/>
      <c r="CE90" s="404"/>
      <c r="CF90" s="404"/>
      <c r="CG90" s="404"/>
      <c r="CH90" s="404"/>
    </row>
    <row r="91" spans="1:86" s="441" customFormat="1" ht="49.9" customHeight="1" outlineLevel="1" x14ac:dyDescent="0.25">
      <c r="A91" s="404"/>
      <c r="B91" s="1684" t="s">
        <v>10</v>
      </c>
      <c r="C91" s="1690" t="s">
        <v>11</v>
      </c>
      <c r="D91" s="927" t="s">
        <v>250</v>
      </c>
      <c r="E91" s="960">
        <f>(SUM(F91:H91))</f>
        <v>0.20214171</v>
      </c>
      <c r="F91" s="968">
        <f>202.11/1000</f>
        <v>0.20211000000000001</v>
      </c>
      <c r="G91" s="968">
        <f>27.95/1000000</f>
        <v>2.7949999999999998E-5</v>
      </c>
      <c r="H91" s="968">
        <f>3.76/1000000</f>
        <v>3.7599999999999996E-6</v>
      </c>
      <c r="I91" s="958">
        <f>(48.9/1000)</f>
        <v>4.8899999999999999E-2</v>
      </c>
      <c r="J91" s="962">
        <v>2022</v>
      </c>
      <c r="K91" s="1249" t="s">
        <v>1338</v>
      </c>
      <c r="T91" s="404"/>
      <c r="U91" s="753"/>
      <c r="V91" s="404"/>
      <c r="W91" s="404"/>
      <c r="X91" s="404"/>
      <c r="Y91" s="404"/>
      <c r="Z91" s="404"/>
      <c r="AA91" s="404"/>
      <c r="AB91" s="404"/>
      <c r="AC91" s="404"/>
      <c r="AD91" s="404"/>
      <c r="AE91" s="404"/>
      <c r="AF91" s="753"/>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c r="BS91" s="404"/>
      <c r="BT91" s="404"/>
      <c r="BU91" s="404"/>
      <c r="BV91" s="404"/>
      <c r="BW91" s="404"/>
      <c r="BX91" s="404"/>
      <c r="BY91" s="404"/>
      <c r="BZ91" s="404"/>
      <c r="CA91" s="404"/>
      <c r="CB91" s="404"/>
      <c r="CC91" s="404"/>
      <c r="CD91" s="404"/>
      <c r="CE91" s="404"/>
      <c r="CF91" s="404"/>
      <c r="CG91" s="404"/>
      <c r="CH91" s="404"/>
    </row>
    <row r="92" spans="1:86" s="441" customFormat="1" ht="49.9" customHeight="1" outlineLevel="1" x14ac:dyDescent="0.25">
      <c r="A92" s="404"/>
      <c r="B92" s="1684"/>
      <c r="C92" s="1690"/>
      <c r="D92" s="927" t="s">
        <v>122</v>
      </c>
      <c r="E92" s="964">
        <v>1.6</v>
      </c>
      <c r="F92" s="968">
        <v>1.6</v>
      </c>
      <c r="G92" s="968">
        <v>1.6</v>
      </c>
      <c r="H92" s="968">
        <v>1.6</v>
      </c>
      <c r="I92" s="958">
        <v>1.6</v>
      </c>
      <c r="J92" s="962">
        <v>2017</v>
      </c>
      <c r="K92" s="1126" t="s">
        <v>1105</v>
      </c>
      <c r="T92" s="404"/>
      <c r="U92" s="753"/>
      <c r="V92" s="404"/>
      <c r="W92" s="404"/>
      <c r="X92" s="404"/>
      <c r="Y92" s="404"/>
      <c r="Z92" s="404"/>
      <c r="AA92" s="404"/>
      <c r="AB92" s="404"/>
      <c r="AC92" s="404"/>
      <c r="AD92" s="404"/>
      <c r="AE92" s="404"/>
      <c r="AF92" s="753"/>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c r="BS92" s="404"/>
      <c r="BT92" s="404"/>
      <c r="BU92" s="404"/>
      <c r="BV92" s="404"/>
      <c r="BW92" s="404"/>
      <c r="BX92" s="404"/>
      <c r="BY92" s="404"/>
      <c r="BZ92" s="404"/>
      <c r="CA92" s="404"/>
      <c r="CB92" s="404"/>
      <c r="CC92" s="404"/>
      <c r="CD92" s="404"/>
      <c r="CE92" s="404"/>
      <c r="CF92" s="404"/>
      <c r="CG92" s="404"/>
      <c r="CH92" s="404"/>
    </row>
    <row r="93" spans="1:86" s="441" customFormat="1" ht="49.9" customHeight="1" outlineLevel="1" x14ac:dyDescent="0.25">
      <c r="A93" s="404"/>
      <c r="B93" s="1684"/>
      <c r="C93" s="1690"/>
      <c r="D93" s="928" t="s">
        <v>120</v>
      </c>
      <c r="E93" s="957">
        <f>(E91/E92)</f>
        <v>0.12633856874999999</v>
      </c>
      <c r="F93" s="968">
        <f>F91/F92</f>
        <v>0.12631875000000001</v>
      </c>
      <c r="G93" s="968">
        <f>G91/G92</f>
        <v>1.7468749999999998E-5</v>
      </c>
      <c r="H93" s="968">
        <f>H91/H92</f>
        <v>2.3499999999999995E-6</v>
      </c>
      <c r="I93" s="969">
        <f>(I91/I92)</f>
        <v>3.0562499999999999E-2</v>
      </c>
      <c r="J93" s="962">
        <v>2025</v>
      </c>
      <c r="K93" s="963" t="s">
        <v>121</v>
      </c>
      <c r="T93" s="404"/>
      <c r="U93" s="753"/>
      <c r="V93" s="404"/>
      <c r="W93" s="404"/>
      <c r="X93" s="404"/>
      <c r="Y93" s="404"/>
      <c r="Z93" s="404"/>
      <c r="AA93" s="404"/>
      <c r="AB93" s="404"/>
      <c r="AC93" s="404"/>
      <c r="AD93" s="404"/>
      <c r="AE93" s="404"/>
      <c r="AF93" s="753"/>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c r="BS93" s="404"/>
      <c r="BT93" s="404"/>
      <c r="BU93" s="404"/>
      <c r="BV93" s="404"/>
      <c r="BW93" s="404"/>
      <c r="BX93" s="404"/>
      <c r="BY93" s="404"/>
      <c r="BZ93" s="404"/>
      <c r="CA93" s="404"/>
      <c r="CB93" s="404"/>
      <c r="CC93" s="404"/>
      <c r="CD93" s="404"/>
      <c r="CE93" s="404"/>
      <c r="CF93" s="404"/>
      <c r="CG93" s="404"/>
      <c r="CH93" s="404"/>
    </row>
    <row r="94" spans="1:86" s="441" customFormat="1" ht="49.9" customHeight="1" outlineLevel="1" x14ac:dyDescent="0.25">
      <c r="A94" s="404"/>
      <c r="B94" s="1684"/>
      <c r="C94" s="1690" t="s">
        <v>13</v>
      </c>
      <c r="D94" s="927" t="s">
        <v>250</v>
      </c>
      <c r="E94" s="964">
        <v>0.12825</v>
      </c>
      <c r="F94" s="968">
        <v>0.12708</v>
      </c>
      <c r="G94" s="968">
        <v>1.9000000000000001E-4</v>
      </c>
      <c r="H94" s="968">
        <v>9.7999999999999997E-4</v>
      </c>
      <c r="I94" s="958">
        <f>(48.9/1000)</f>
        <v>4.8899999999999999E-2</v>
      </c>
      <c r="J94" s="962">
        <v>2025</v>
      </c>
      <c r="K94" s="1125" t="s">
        <v>1104</v>
      </c>
      <c r="T94" s="404"/>
      <c r="U94" s="753"/>
      <c r="V94" s="404"/>
      <c r="W94" s="404"/>
      <c r="X94" s="404"/>
      <c r="Y94" s="404"/>
      <c r="Z94" s="404"/>
      <c r="AA94" s="404"/>
      <c r="AB94" s="404"/>
      <c r="AC94" s="404"/>
      <c r="AD94" s="404"/>
      <c r="AE94" s="404"/>
      <c r="AF94" s="753"/>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c r="BS94" s="404"/>
      <c r="BT94" s="404"/>
      <c r="BU94" s="404"/>
      <c r="BV94" s="404"/>
      <c r="BW94" s="404"/>
      <c r="BX94" s="404"/>
      <c r="BY94" s="404"/>
      <c r="BZ94" s="404"/>
      <c r="CA94" s="404"/>
      <c r="CB94" s="404"/>
      <c r="CC94" s="404"/>
      <c r="CD94" s="404"/>
      <c r="CE94" s="404"/>
      <c r="CF94" s="404"/>
      <c r="CG94" s="404"/>
      <c r="CH94" s="404"/>
    </row>
    <row r="95" spans="1:86" s="441" customFormat="1" ht="49.9" customHeight="1" outlineLevel="1" x14ac:dyDescent="0.25">
      <c r="A95" s="404"/>
      <c r="B95" s="1684"/>
      <c r="C95" s="1690"/>
      <c r="D95" s="972" t="s">
        <v>122</v>
      </c>
      <c r="E95" s="964">
        <v>1.6</v>
      </c>
      <c r="F95" s="968">
        <v>1.6</v>
      </c>
      <c r="G95" s="968">
        <v>1.6</v>
      </c>
      <c r="H95" s="968">
        <v>1.6</v>
      </c>
      <c r="I95" s="958">
        <v>1.6</v>
      </c>
      <c r="J95" s="962">
        <v>2017</v>
      </c>
      <c r="K95" s="1126" t="s">
        <v>1105</v>
      </c>
      <c r="T95" s="404"/>
      <c r="U95" s="753"/>
      <c r="V95" s="404"/>
      <c r="W95" s="404"/>
      <c r="X95" s="404"/>
      <c r="Y95" s="404"/>
      <c r="Z95" s="404"/>
      <c r="AA95" s="404"/>
      <c r="AB95" s="404"/>
      <c r="AC95" s="404"/>
      <c r="AD95" s="404"/>
      <c r="AE95" s="404"/>
      <c r="AF95" s="753"/>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c r="BS95" s="404"/>
      <c r="BT95" s="404"/>
      <c r="BU95" s="404"/>
      <c r="BV95" s="404"/>
      <c r="BW95" s="404"/>
      <c r="BX95" s="404"/>
      <c r="BY95" s="404"/>
      <c r="BZ95" s="404"/>
      <c r="CA95" s="404"/>
      <c r="CB95" s="404"/>
      <c r="CC95" s="404"/>
      <c r="CD95" s="404"/>
      <c r="CE95" s="404"/>
      <c r="CF95" s="404"/>
      <c r="CG95" s="404"/>
      <c r="CH95" s="404"/>
    </row>
    <row r="96" spans="1:86" s="441" customFormat="1" ht="49.9" customHeight="1" outlineLevel="1" x14ac:dyDescent="0.25">
      <c r="A96" s="404"/>
      <c r="B96" s="1684"/>
      <c r="C96" s="1690"/>
      <c r="D96" s="928" t="s">
        <v>120</v>
      </c>
      <c r="E96" s="973">
        <f>(E94/E95)</f>
        <v>8.0156249999999998E-2</v>
      </c>
      <c r="F96" s="968">
        <f>F94/F95</f>
        <v>7.9424999999999996E-2</v>
      </c>
      <c r="G96" s="968">
        <f>G94/G95</f>
        <v>1.1875E-4</v>
      </c>
      <c r="H96" s="968">
        <f>H94/H95</f>
        <v>6.1249999999999998E-4</v>
      </c>
      <c r="I96" s="969">
        <f>(I94/I95)</f>
        <v>3.0562499999999999E-2</v>
      </c>
      <c r="J96" s="962">
        <v>2025</v>
      </c>
      <c r="K96" s="963" t="s">
        <v>121</v>
      </c>
      <c r="T96" s="404"/>
      <c r="U96" s="753"/>
      <c r="V96" s="404"/>
      <c r="W96" s="404"/>
      <c r="X96" s="404"/>
      <c r="Y96" s="404"/>
      <c r="Z96" s="404"/>
      <c r="AA96" s="404"/>
      <c r="AB96" s="404"/>
      <c r="AC96" s="404"/>
      <c r="AD96" s="404"/>
      <c r="AE96" s="404"/>
      <c r="AF96" s="753"/>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404"/>
      <c r="CB96" s="404"/>
      <c r="CC96" s="404"/>
      <c r="CD96" s="404"/>
      <c r="CE96" s="404"/>
      <c r="CF96" s="404"/>
      <c r="CG96" s="404"/>
      <c r="CH96" s="404"/>
    </row>
    <row r="97" spans="1:86" s="441" customFormat="1" ht="49.9" customHeight="1" outlineLevel="1" x14ac:dyDescent="0.25">
      <c r="A97" s="404"/>
      <c r="B97" s="1684"/>
      <c r="C97" s="1690" t="s">
        <v>12</v>
      </c>
      <c r="D97" s="927" t="s">
        <v>250</v>
      </c>
      <c r="E97" s="960">
        <f>(SUM(F97:H97))</f>
        <v>0.19246834000000004</v>
      </c>
      <c r="F97" s="968">
        <f>192.46/1000</f>
        <v>0.19246000000000002</v>
      </c>
      <c r="G97" s="968">
        <f>1.19/1000000</f>
        <v>1.19E-6</v>
      </c>
      <c r="H97" s="968">
        <f>7.15/1000000</f>
        <v>7.1500000000000002E-6</v>
      </c>
      <c r="I97" s="958">
        <f>(48.9/1000)</f>
        <v>4.8899999999999999E-2</v>
      </c>
      <c r="J97" s="962">
        <v>2022</v>
      </c>
      <c r="K97" s="1249" t="s">
        <v>941</v>
      </c>
      <c r="T97" s="404"/>
      <c r="U97" s="753"/>
      <c r="V97" s="404"/>
      <c r="W97" s="404"/>
      <c r="X97" s="404"/>
      <c r="Y97" s="404"/>
      <c r="Z97" s="404"/>
      <c r="AA97" s="404"/>
      <c r="AB97" s="404"/>
      <c r="AC97" s="404"/>
      <c r="AD97" s="404"/>
      <c r="AE97" s="404"/>
      <c r="AF97" s="753"/>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c r="BS97" s="404"/>
      <c r="BT97" s="404"/>
      <c r="BU97" s="404"/>
      <c r="BV97" s="404"/>
      <c r="BW97" s="404"/>
      <c r="BX97" s="404"/>
      <c r="BY97" s="404"/>
      <c r="BZ97" s="404"/>
      <c r="CA97" s="404"/>
      <c r="CB97" s="404"/>
      <c r="CC97" s="404"/>
      <c r="CD97" s="404"/>
      <c r="CE97" s="404"/>
      <c r="CF97" s="404"/>
      <c r="CG97" s="404"/>
      <c r="CH97" s="404"/>
    </row>
    <row r="98" spans="1:86" s="441" customFormat="1" ht="49.9" customHeight="1" outlineLevel="1" x14ac:dyDescent="0.25">
      <c r="A98" s="404"/>
      <c r="B98" s="1684"/>
      <c r="C98" s="1690"/>
      <c r="D98" s="927" t="s">
        <v>122</v>
      </c>
      <c r="E98" s="964">
        <v>1.6</v>
      </c>
      <c r="F98" s="968">
        <v>1.6</v>
      </c>
      <c r="G98" s="968">
        <v>1.6</v>
      </c>
      <c r="H98" s="968">
        <v>1.6</v>
      </c>
      <c r="I98" s="958">
        <v>1.6</v>
      </c>
      <c r="J98" s="962">
        <v>2017</v>
      </c>
      <c r="K98" s="1126" t="s">
        <v>1105</v>
      </c>
      <c r="T98" s="404"/>
      <c r="U98" s="753"/>
      <c r="V98" s="404"/>
      <c r="W98" s="404"/>
      <c r="X98" s="404"/>
      <c r="Y98" s="404"/>
      <c r="Z98" s="404"/>
      <c r="AA98" s="404"/>
      <c r="AB98" s="404"/>
      <c r="AC98" s="404"/>
      <c r="AD98" s="404"/>
      <c r="AE98" s="404"/>
      <c r="AF98" s="753"/>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404"/>
      <c r="CB98" s="404"/>
      <c r="CC98" s="404"/>
      <c r="CD98" s="404"/>
      <c r="CE98" s="404"/>
      <c r="CF98" s="404"/>
      <c r="CG98" s="404"/>
      <c r="CH98" s="404"/>
    </row>
    <row r="99" spans="1:86" s="441" customFormat="1" ht="49.9" customHeight="1" outlineLevel="1" x14ac:dyDescent="0.25">
      <c r="A99" s="404"/>
      <c r="B99" s="1684"/>
      <c r="C99" s="1690"/>
      <c r="D99" s="928" t="s">
        <v>120</v>
      </c>
      <c r="E99" s="957">
        <f>(E97/E98)</f>
        <v>0.12029271250000002</v>
      </c>
      <c r="F99" s="968">
        <f>F97/F98</f>
        <v>0.12028750000000001</v>
      </c>
      <c r="G99" s="968">
        <f>G97/G98</f>
        <v>7.4374999999999997E-7</v>
      </c>
      <c r="H99" s="968">
        <f>H97/H98</f>
        <v>4.4687500000000002E-6</v>
      </c>
      <c r="I99" s="969">
        <f>(I97/I98)</f>
        <v>3.0562499999999999E-2</v>
      </c>
      <c r="J99" s="962">
        <v>2025</v>
      </c>
      <c r="K99" s="963" t="s">
        <v>135</v>
      </c>
      <c r="T99" s="404"/>
      <c r="U99" s="753"/>
      <c r="V99" s="404"/>
      <c r="W99" s="404"/>
      <c r="X99" s="404"/>
      <c r="Y99" s="404"/>
      <c r="Z99" s="404"/>
      <c r="AA99" s="404"/>
      <c r="AB99" s="404"/>
      <c r="AC99" s="404"/>
      <c r="AD99" s="404"/>
      <c r="AE99" s="404"/>
      <c r="AF99" s="753"/>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c r="BS99" s="404"/>
      <c r="BT99" s="404"/>
      <c r="BU99" s="404"/>
      <c r="BV99" s="404"/>
      <c r="BW99" s="404"/>
      <c r="BX99" s="404"/>
      <c r="BY99" s="404"/>
      <c r="BZ99" s="404"/>
      <c r="CA99" s="404"/>
      <c r="CB99" s="404"/>
      <c r="CC99" s="404"/>
      <c r="CD99" s="404"/>
      <c r="CE99" s="404"/>
      <c r="CF99" s="404"/>
      <c r="CG99" s="404"/>
      <c r="CH99" s="404"/>
    </row>
    <row r="100" spans="1:86" s="441" customFormat="1" ht="49.9" customHeight="1" outlineLevel="1" x14ac:dyDescent="0.25">
      <c r="A100" s="404"/>
      <c r="B100" s="1684"/>
      <c r="C100" s="1690" t="s">
        <v>14</v>
      </c>
      <c r="D100" s="927" t="s">
        <v>250</v>
      </c>
      <c r="E100" s="960">
        <f>(SUM(F100:H100))</f>
        <v>0.19193440000000001</v>
      </c>
      <c r="F100" s="968">
        <f>191.9/1000</f>
        <v>0.19190000000000002</v>
      </c>
      <c r="G100" s="968">
        <f>34.4/1000000</f>
        <v>3.4399999999999996E-5</v>
      </c>
      <c r="H100" s="968">
        <f>0/1000000</f>
        <v>0</v>
      </c>
      <c r="I100" s="958">
        <f>(48.9/1000)</f>
        <v>4.8899999999999999E-2</v>
      </c>
      <c r="J100" s="962">
        <v>2022</v>
      </c>
      <c r="K100" s="1249" t="s">
        <v>941</v>
      </c>
      <c r="T100" s="404"/>
      <c r="U100" s="753"/>
      <c r="V100" s="404"/>
      <c r="W100" s="404"/>
      <c r="X100" s="404"/>
      <c r="Y100" s="404"/>
      <c r="Z100" s="404"/>
      <c r="AA100" s="404"/>
      <c r="AB100" s="404"/>
      <c r="AC100" s="404"/>
      <c r="AD100" s="404"/>
      <c r="AE100" s="404"/>
      <c r="AF100" s="753"/>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c r="BO100" s="404"/>
      <c r="BP100" s="404"/>
      <c r="BQ100" s="404"/>
      <c r="BR100" s="404"/>
      <c r="BS100" s="404"/>
      <c r="BT100" s="404"/>
      <c r="BU100" s="404"/>
      <c r="BV100" s="404"/>
      <c r="BW100" s="404"/>
      <c r="BX100" s="404"/>
      <c r="BY100" s="404"/>
      <c r="BZ100" s="404"/>
      <c r="CA100" s="404"/>
      <c r="CB100" s="404"/>
      <c r="CC100" s="404"/>
      <c r="CD100" s="404"/>
      <c r="CE100" s="404"/>
      <c r="CF100" s="404"/>
      <c r="CG100" s="404"/>
      <c r="CH100" s="404"/>
    </row>
    <row r="101" spans="1:86" s="441" customFormat="1" ht="49.9" customHeight="1" outlineLevel="1" x14ac:dyDescent="0.25">
      <c r="A101" s="404"/>
      <c r="B101" s="1684"/>
      <c r="C101" s="1690"/>
      <c r="D101" s="927" t="s">
        <v>122</v>
      </c>
      <c r="E101" s="964">
        <v>1.6</v>
      </c>
      <c r="F101" s="968">
        <v>1.6</v>
      </c>
      <c r="G101" s="968">
        <v>1.6</v>
      </c>
      <c r="H101" s="968">
        <v>1.6</v>
      </c>
      <c r="I101" s="958">
        <v>1.6</v>
      </c>
      <c r="J101" s="962">
        <v>2017</v>
      </c>
      <c r="K101" s="1126" t="s">
        <v>1105</v>
      </c>
      <c r="T101" s="404"/>
      <c r="U101" s="753"/>
      <c r="V101" s="404"/>
      <c r="W101" s="404"/>
      <c r="X101" s="404"/>
      <c r="Y101" s="404"/>
      <c r="Z101" s="404"/>
      <c r="AA101" s="404"/>
      <c r="AB101" s="404"/>
      <c r="AC101" s="404"/>
      <c r="AD101" s="404"/>
      <c r="AE101" s="404"/>
      <c r="AF101" s="753"/>
      <c r="AG101" s="404"/>
      <c r="AH101" s="404"/>
      <c r="AI101" s="404"/>
      <c r="AJ101" s="404"/>
      <c r="AK101" s="404"/>
      <c r="AL101" s="404"/>
      <c r="AM101" s="404"/>
      <c r="AN101" s="404"/>
      <c r="AO101" s="404"/>
      <c r="AP101" s="404"/>
      <c r="AQ101" s="404"/>
      <c r="AR101" s="404"/>
      <c r="AS101" s="404"/>
      <c r="AT101" s="404"/>
      <c r="AU101" s="404"/>
      <c r="AV101" s="404"/>
      <c r="AW101" s="404"/>
      <c r="AX101" s="404"/>
      <c r="AY101" s="404"/>
      <c r="AZ101" s="404"/>
      <c r="BA101" s="404"/>
      <c r="BB101" s="404"/>
      <c r="BC101" s="404"/>
      <c r="BD101" s="404"/>
      <c r="BE101" s="404"/>
      <c r="BF101" s="404"/>
      <c r="BG101" s="404"/>
      <c r="BH101" s="404"/>
      <c r="BI101" s="404"/>
      <c r="BJ101" s="404"/>
      <c r="BK101" s="404"/>
      <c r="BL101" s="404"/>
      <c r="BM101" s="404"/>
      <c r="BN101" s="404"/>
      <c r="BO101" s="404"/>
      <c r="BP101" s="404"/>
      <c r="BQ101" s="404"/>
      <c r="BR101" s="404"/>
      <c r="BS101" s="404"/>
      <c r="BT101" s="404"/>
      <c r="BU101" s="404"/>
      <c r="BV101" s="404"/>
      <c r="BW101" s="404"/>
      <c r="BX101" s="404"/>
      <c r="BY101" s="404"/>
      <c r="BZ101" s="404"/>
      <c r="CA101" s="404"/>
      <c r="CB101" s="404"/>
      <c r="CC101" s="404"/>
      <c r="CD101" s="404"/>
      <c r="CE101" s="404"/>
      <c r="CF101" s="404"/>
      <c r="CG101" s="404"/>
      <c r="CH101" s="404"/>
    </row>
    <row r="102" spans="1:86" s="441" customFormat="1" ht="49.9" customHeight="1" outlineLevel="1" x14ac:dyDescent="0.25">
      <c r="A102" s="404"/>
      <c r="B102" s="1684"/>
      <c r="C102" s="1690"/>
      <c r="D102" s="928" t="s">
        <v>120</v>
      </c>
      <c r="E102" s="957">
        <f>(E100/E101)</f>
        <v>0.119959</v>
      </c>
      <c r="F102" s="968">
        <f>F100/F101</f>
        <v>0.1199375</v>
      </c>
      <c r="G102" s="968">
        <f>G100/G101</f>
        <v>2.1499999999999997E-5</v>
      </c>
      <c r="H102" s="968">
        <f>H100/H101</f>
        <v>0</v>
      </c>
      <c r="I102" s="969">
        <f>(I100/I101)</f>
        <v>3.0562499999999999E-2</v>
      </c>
      <c r="J102" s="962">
        <v>2025</v>
      </c>
      <c r="K102" s="963" t="s">
        <v>121</v>
      </c>
      <c r="T102" s="404"/>
      <c r="U102" s="753"/>
      <c r="V102" s="404"/>
      <c r="W102" s="404"/>
      <c r="X102" s="404"/>
      <c r="Y102" s="404"/>
      <c r="Z102" s="404"/>
      <c r="AA102" s="404"/>
      <c r="AB102" s="404"/>
      <c r="AC102" s="404"/>
      <c r="AD102" s="404"/>
      <c r="AE102" s="404"/>
      <c r="AF102" s="753"/>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c r="BO102" s="404"/>
      <c r="BP102" s="404"/>
      <c r="BQ102" s="404"/>
      <c r="BR102" s="404"/>
      <c r="BS102" s="404"/>
      <c r="BT102" s="404"/>
      <c r="BU102" s="404"/>
      <c r="BV102" s="404"/>
      <c r="BW102" s="404"/>
      <c r="BX102" s="404"/>
      <c r="BY102" s="404"/>
      <c r="BZ102" s="404"/>
      <c r="CA102" s="404"/>
      <c r="CB102" s="404"/>
      <c r="CC102" s="404"/>
      <c r="CD102" s="404"/>
      <c r="CE102" s="404"/>
      <c r="CF102" s="404"/>
      <c r="CG102" s="404"/>
      <c r="CH102" s="404"/>
    </row>
    <row r="103" spans="1:86" s="441" customFormat="1" ht="49.9" customHeight="1" outlineLevel="1" x14ac:dyDescent="0.25">
      <c r="A103" s="404"/>
      <c r="B103" s="1688" t="s">
        <v>15</v>
      </c>
      <c r="C103" s="1691" t="s">
        <v>123</v>
      </c>
      <c r="D103" s="927" t="s">
        <v>250</v>
      </c>
      <c r="E103" s="960">
        <f>(SUM(F103:H103))</f>
        <v>7.1007210000000001E-2</v>
      </c>
      <c r="F103" s="968">
        <f>70.89/1000</f>
        <v>7.0889999999999995E-2</v>
      </c>
      <c r="G103" s="968">
        <f>116.21/1000000</f>
        <v>1.1621E-4</v>
      </c>
      <c r="H103" s="968">
        <f>1/1000000</f>
        <v>9.9999999999999995E-7</v>
      </c>
      <c r="I103" s="958">
        <f>(382/10000)</f>
        <v>3.8199999999999998E-2</v>
      </c>
      <c r="J103" s="962">
        <v>2022</v>
      </c>
      <c r="K103" s="1249" t="s">
        <v>941</v>
      </c>
      <c r="T103" s="404"/>
      <c r="U103" s="753"/>
      <c r="V103" s="404"/>
      <c r="W103" s="404"/>
      <c r="X103" s="404"/>
      <c r="Y103" s="404"/>
      <c r="Z103" s="404"/>
      <c r="AA103" s="404"/>
      <c r="AB103" s="404"/>
      <c r="AC103" s="404"/>
      <c r="AD103" s="404"/>
      <c r="AE103" s="404"/>
      <c r="AF103" s="753"/>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c r="BS103" s="404"/>
      <c r="BT103" s="404"/>
      <c r="BU103" s="404"/>
      <c r="BV103" s="404"/>
      <c r="BW103" s="404"/>
      <c r="BX103" s="404"/>
      <c r="BY103" s="404"/>
      <c r="BZ103" s="404"/>
      <c r="CA103" s="404"/>
      <c r="CB103" s="404"/>
      <c r="CC103" s="404"/>
      <c r="CD103" s="404"/>
      <c r="CE103" s="404"/>
      <c r="CF103" s="404"/>
      <c r="CG103" s="404"/>
      <c r="CH103" s="404"/>
    </row>
    <row r="104" spans="1:86" s="441" customFormat="1" ht="49.9" customHeight="1" outlineLevel="1" x14ac:dyDescent="0.25">
      <c r="A104" s="404"/>
      <c r="B104" s="1688"/>
      <c r="C104" s="1691"/>
      <c r="D104" s="927" t="s">
        <v>122</v>
      </c>
      <c r="E104" s="964">
        <v>1</v>
      </c>
      <c r="F104" s="968">
        <v>1</v>
      </c>
      <c r="G104" s="968">
        <v>1</v>
      </c>
      <c r="H104" s="968">
        <v>1</v>
      </c>
      <c r="I104" s="958">
        <v>1</v>
      </c>
      <c r="J104" s="962">
        <v>2025</v>
      </c>
      <c r="K104" s="963" t="s">
        <v>1099</v>
      </c>
      <c r="T104" s="404"/>
      <c r="U104" s="753"/>
      <c r="V104" s="404"/>
      <c r="W104" s="404"/>
      <c r="X104" s="404"/>
      <c r="Y104" s="404"/>
      <c r="Z104" s="404"/>
      <c r="AA104" s="404"/>
      <c r="AB104" s="404"/>
      <c r="AC104" s="404"/>
      <c r="AD104" s="404"/>
      <c r="AE104" s="404"/>
      <c r="AF104" s="753"/>
      <c r="AG104" s="404"/>
      <c r="AH104" s="404"/>
      <c r="AI104" s="404"/>
      <c r="AJ104" s="404"/>
      <c r="AK104" s="404"/>
      <c r="AL104" s="404"/>
      <c r="AM104" s="404"/>
      <c r="AN104" s="404"/>
      <c r="AO104" s="404"/>
      <c r="AP104" s="404"/>
      <c r="AQ104" s="404"/>
      <c r="AR104" s="404"/>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c r="BN104" s="404"/>
      <c r="BO104" s="404"/>
      <c r="BP104" s="404"/>
      <c r="BQ104" s="404"/>
      <c r="BR104" s="404"/>
      <c r="BS104" s="404"/>
      <c r="BT104" s="404"/>
      <c r="BU104" s="404"/>
      <c r="BV104" s="404"/>
      <c r="BW104" s="404"/>
      <c r="BX104" s="404"/>
      <c r="BY104" s="404"/>
      <c r="BZ104" s="404"/>
      <c r="CA104" s="404"/>
      <c r="CB104" s="404"/>
      <c r="CC104" s="404"/>
      <c r="CD104" s="404"/>
      <c r="CE104" s="404"/>
      <c r="CF104" s="404"/>
      <c r="CG104" s="404"/>
      <c r="CH104" s="404"/>
    </row>
    <row r="105" spans="1:86" s="441" customFormat="1" ht="49.9" customHeight="1" outlineLevel="1" x14ac:dyDescent="0.25">
      <c r="A105" s="404"/>
      <c r="B105" s="1688"/>
      <c r="C105" s="1691"/>
      <c r="D105" s="927" t="s">
        <v>120</v>
      </c>
      <c r="E105" s="960">
        <f>(E103/E104)</f>
        <v>7.1007210000000001E-2</v>
      </c>
      <c r="F105" s="968">
        <f>F103/F104</f>
        <v>7.0889999999999995E-2</v>
      </c>
      <c r="G105" s="968">
        <f>G103/G104</f>
        <v>1.1621E-4</v>
      </c>
      <c r="H105" s="968">
        <f>H103/H104</f>
        <v>9.9999999999999995E-7</v>
      </c>
      <c r="I105" s="958">
        <f>(I103/I104)</f>
        <v>3.8199999999999998E-2</v>
      </c>
      <c r="J105" s="962">
        <v>2025</v>
      </c>
      <c r="K105" s="963" t="s">
        <v>121</v>
      </c>
      <c r="T105" s="404"/>
      <c r="U105" s="753"/>
      <c r="V105" s="404"/>
      <c r="W105" s="404"/>
      <c r="X105" s="404"/>
      <c r="Y105" s="404"/>
      <c r="Z105" s="404"/>
      <c r="AA105" s="404"/>
      <c r="AB105" s="404"/>
      <c r="AC105" s="404"/>
      <c r="AD105" s="404"/>
      <c r="AE105" s="404"/>
      <c r="AF105" s="753"/>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c r="BO105" s="404"/>
      <c r="BP105" s="404"/>
      <c r="BQ105" s="404"/>
      <c r="BR105" s="404"/>
      <c r="BS105" s="404"/>
      <c r="BT105" s="404"/>
      <c r="BU105" s="404"/>
      <c r="BV105" s="404"/>
      <c r="BW105" s="404"/>
      <c r="BX105" s="404"/>
      <c r="BY105" s="404"/>
      <c r="BZ105" s="404"/>
      <c r="CA105" s="404"/>
      <c r="CB105" s="404"/>
      <c r="CC105" s="404"/>
      <c r="CD105" s="404"/>
      <c r="CE105" s="404"/>
      <c r="CF105" s="404"/>
      <c r="CG105" s="404"/>
      <c r="CH105" s="404"/>
    </row>
    <row r="106" spans="1:86" s="441" customFormat="1" ht="49.9" customHeight="1" outlineLevel="1" x14ac:dyDescent="0.25">
      <c r="A106" s="404"/>
      <c r="B106" s="1688"/>
      <c r="C106" s="1692" t="s">
        <v>1106</v>
      </c>
      <c r="D106" s="927" t="s">
        <v>250</v>
      </c>
      <c r="E106" s="960">
        <f>(SUM(F106:H106))</f>
        <v>0.12754610999999999</v>
      </c>
      <c r="F106" s="968">
        <f>127.49/1000</f>
        <v>0.12748999999999999</v>
      </c>
      <c r="G106" s="968">
        <f>54.11/1000000</f>
        <v>5.4110000000000002E-5</v>
      </c>
      <c r="H106" s="968">
        <f>2/1000000</f>
        <v>1.9999999999999999E-6</v>
      </c>
      <c r="I106" s="958">
        <f>(382/20000)</f>
        <v>1.9099999999999999E-2</v>
      </c>
      <c r="J106" s="962">
        <v>2022</v>
      </c>
      <c r="K106" s="1249" t="s">
        <v>941</v>
      </c>
      <c r="T106" s="404"/>
      <c r="U106" s="753"/>
      <c r="V106" s="404"/>
      <c r="W106" s="404"/>
      <c r="X106" s="404"/>
      <c r="Y106" s="404"/>
      <c r="Z106" s="404"/>
      <c r="AA106" s="404"/>
      <c r="AB106" s="404"/>
      <c r="AC106" s="404"/>
      <c r="AD106" s="404"/>
      <c r="AE106" s="404"/>
      <c r="AF106" s="753"/>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c r="BO106" s="404"/>
      <c r="BP106" s="404"/>
      <c r="BQ106" s="404"/>
      <c r="BR106" s="404"/>
      <c r="BS106" s="404"/>
      <c r="BT106" s="404"/>
      <c r="BU106" s="404"/>
      <c r="BV106" s="404"/>
      <c r="BW106" s="404"/>
      <c r="BX106" s="404"/>
      <c r="BY106" s="404"/>
      <c r="BZ106" s="404"/>
      <c r="CA106" s="404"/>
      <c r="CB106" s="404"/>
      <c r="CC106" s="404"/>
      <c r="CD106" s="404"/>
      <c r="CE106" s="404"/>
      <c r="CF106" s="404"/>
      <c r="CG106" s="404"/>
      <c r="CH106" s="404"/>
    </row>
    <row r="107" spans="1:86" s="441" customFormat="1" ht="49.9" customHeight="1" outlineLevel="1" x14ac:dyDescent="0.25">
      <c r="A107" s="404"/>
      <c r="B107" s="1688"/>
      <c r="C107" s="1692"/>
      <c r="D107" s="927" t="s">
        <v>122</v>
      </c>
      <c r="E107" s="960">
        <v>1</v>
      </c>
      <c r="F107" s="968">
        <v>1</v>
      </c>
      <c r="G107" s="968">
        <v>1</v>
      </c>
      <c r="H107" s="968">
        <v>1</v>
      </c>
      <c r="I107" s="958">
        <v>1</v>
      </c>
      <c r="J107" s="962">
        <v>2025</v>
      </c>
      <c r="K107" s="963" t="s">
        <v>257</v>
      </c>
      <c r="T107" s="404"/>
      <c r="U107" s="753"/>
      <c r="V107" s="404"/>
      <c r="W107" s="404"/>
      <c r="X107" s="404"/>
      <c r="Y107" s="404"/>
      <c r="Z107" s="404"/>
      <c r="AA107" s="404"/>
      <c r="AB107" s="404"/>
      <c r="AC107" s="404"/>
      <c r="AD107" s="404"/>
      <c r="AE107" s="404"/>
      <c r="AF107" s="753"/>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c r="BS107" s="404"/>
      <c r="BT107" s="404"/>
      <c r="BU107" s="404"/>
      <c r="BV107" s="404"/>
      <c r="BW107" s="404"/>
      <c r="BX107" s="404"/>
      <c r="BY107" s="404"/>
      <c r="BZ107" s="404"/>
      <c r="CA107" s="404"/>
      <c r="CB107" s="404"/>
      <c r="CC107" s="404"/>
      <c r="CD107" s="404"/>
      <c r="CE107" s="404"/>
      <c r="CF107" s="404"/>
      <c r="CG107" s="404"/>
      <c r="CH107" s="404"/>
    </row>
    <row r="108" spans="1:86" s="404" customFormat="1" ht="49.9" customHeight="1" outlineLevel="1" x14ac:dyDescent="0.25">
      <c r="B108" s="1688"/>
      <c r="C108" s="1692"/>
      <c r="D108" s="927" t="s">
        <v>120</v>
      </c>
      <c r="E108" s="960">
        <f>(E106/E107)</f>
        <v>0.12754610999999999</v>
      </c>
      <c r="F108" s="968">
        <f>F106/F107</f>
        <v>0.12748999999999999</v>
      </c>
      <c r="G108" s="968">
        <f>G106/G107</f>
        <v>5.4110000000000002E-5</v>
      </c>
      <c r="H108" s="968">
        <f>H106/H107</f>
        <v>1.9999999999999999E-6</v>
      </c>
      <c r="I108" s="958">
        <f>(I106/I107)</f>
        <v>1.9099999999999999E-2</v>
      </c>
      <c r="J108" s="962">
        <v>2025</v>
      </c>
      <c r="K108" s="963" t="s">
        <v>121</v>
      </c>
      <c r="R108" s="438"/>
      <c r="S108" s="743"/>
      <c r="T108" s="442"/>
      <c r="U108" s="757"/>
      <c r="V108" s="442"/>
      <c r="W108" s="442"/>
      <c r="X108" s="442"/>
      <c r="Y108" s="442"/>
      <c r="Z108" s="442"/>
      <c r="AA108" s="442"/>
      <c r="AB108" s="442"/>
      <c r="AC108" s="442"/>
      <c r="AD108" s="442"/>
      <c r="AE108" s="442"/>
      <c r="AF108" s="757"/>
      <c r="AG108" s="442"/>
      <c r="AH108" s="442"/>
      <c r="AI108" s="442"/>
      <c r="AJ108" s="442"/>
      <c r="AK108" s="442"/>
      <c r="AL108" s="442"/>
      <c r="AM108" s="442"/>
      <c r="AN108" s="442"/>
      <c r="AO108" s="442"/>
      <c r="AP108" s="442"/>
      <c r="AQ108" s="442"/>
      <c r="AR108" s="442"/>
      <c r="AS108" s="442"/>
      <c r="AT108" s="442"/>
      <c r="AU108" s="442"/>
      <c r="AV108" s="442"/>
      <c r="AW108" s="442"/>
      <c r="AX108" s="442"/>
      <c r="AY108" s="442"/>
      <c r="AZ108" s="442"/>
      <c r="BA108" s="442"/>
      <c r="BB108" s="442"/>
      <c r="BC108" s="442"/>
      <c r="BD108" s="442"/>
      <c r="BE108" s="442"/>
      <c r="BF108" s="442"/>
      <c r="BG108" s="442"/>
      <c r="BH108" s="442"/>
      <c r="BI108" s="442"/>
      <c r="BJ108" s="442"/>
      <c r="BK108" s="442"/>
      <c r="BL108" s="442"/>
      <c r="BM108" s="442"/>
      <c r="BN108" s="442"/>
      <c r="BO108" s="442"/>
      <c r="BP108" s="442"/>
      <c r="BQ108" s="442"/>
      <c r="BR108" s="442"/>
      <c r="BS108" s="442"/>
      <c r="BT108" s="442"/>
      <c r="BU108" s="442"/>
      <c r="BV108" s="442"/>
      <c r="BW108" s="442"/>
      <c r="BX108" s="442"/>
      <c r="BY108" s="442"/>
      <c r="BZ108" s="442"/>
      <c r="CA108" s="442"/>
      <c r="CB108" s="442"/>
      <c r="CC108" s="442"/>
      <c r="CD108" s="442"/>
      <c r="CE108" s="442"/>
      <c r="CF108" s="442"/>
      <c r="CG108" s="442"/>
    </row>
    <row r="109" spans="1:86" s="404" customFormat="1" ht="49.9" customHeight="1" outlineLevel="1" x14ac:dyDescent="0.25">
      <c r="B109" s="927" t="s">
        <v>124</v>
      </c>
      <c r="C109" s="974" t="s">
        <v>373</v>
      </c>
      <c r="D109" s="927" t="s">
        <v>120</v>
      </c>
      <c r="E109" s="960" t="s">
        <v>371</v>
      </c>
      <c r="F109" s="1675"/>
      <c r="G109" s="1676"/>
      <c r="H109" s="1677"/>
      <c r="I109" s="958">
        <f>(385/1000)</f>
        <v>0.38500000000000001</v>
      </c>
      <c r="J109" s="962">
        <v>2023</v>
      </c>
      <c r="K109" s="1126" t="s">
        <v>372</v>
      </c>
      <c r="R109" s="442"/>
      <c r="S109" s="442"/>
      <c r="T109" s="442"/>
      <c r="U109" s="757"/>
      <c r="V109" s="442"/>
      <c r="W109" s="442"/>
      <c r="X109" s="442"/>
      <c r="Y109" s="442"/>
      <c r="Z109" s="442"/>
      <c r="AA109" s="442"/>
      <c r="AB109" s="442"/>
      <c r="AC109" s="442"/>
      <c r="AD109" s="442"/>
      <c r="AE109" s="442"/>
      <c r="AF109" s="757"/>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c r="BP109" s="442"/>
      <c r="BQ109" s="442"/>
      <c r="BR109" s="442"/>
      <c r="BS109" s="442"/>
      <c r="BT109" s="442"/>
      <c r="BU109" s="442"/>
      <c r="BV109" s="442"/>
      <c r="BW109" s="442"/>
      <c r="BX109" s="442"/>
      <c r="BY109" s="442"/>
      <c r="BZ109" s="442"/>
      <c r="CA109" s="442"/>
      <c r="CB109" s="442"/>
      <c r="CC109" s="442"/>
      <c r="CD109" s="442"/>
      <c r="CE109" s="442"/>
      <c r="CF109" s="442"/>
      <c r="CG109" s="442"/>
    </row>
    <row r="110" spans="1:86" s="404" customFormat="1" ht="49.9" customHeight="1" x14ac:dyDescent="0.25">
      <c r="B110" s="442"/>
      <c r="C110" s="443"/>
      <c r="D110" s="442"/>
      <c r="E110" s="442"/>
      <c r="F110" s="442"/>
      <c r="G110" s="442"/>
      <c r="H110" s="442"/>
      <c r="I110" s="443"/>
      <c r="J110" s="442"/>
      <c r="K110" s="442"/>
      <c r="L110" s="442"/>
      <c r="M110" s="442"/>
      <c r="N110" s="442"/>
      <c r="O110" s="442"/>
      <c r="P110" s="442"/>
      <c r="Q110" s="442"/>
      <c r="R110" s="442"/>
      <c r="S110" s="442"/>
      <c r="T110" s="442"/>
      <c r="U110" s="757"/>
      <c r="V110" s="442"/>
      <c r="W110" s="442"/>
      <c r="X110" s="442"/>
      <c r="Y110" s="442"/>
      <c r="Z110" s="442"/>
      <c r="AA110" s="442"/>
      <c r="AB110" s="442"/>
      <c r="AC110" s="442"/>
      <c r="AD110" s="442"/>
      <c r="AE110" s="442"/>
      <c r="AF110" s="757"/>
      <c r="AG110" s="442"/>
      <c r="AH110" s="442"/>
      <c r="AI110" s="442"/>
      <c r="AJ110" s="442"/>
      <c r="AK110" s="442"/>
      <c r="AL110" s="442"/>
      <c r="AM110" s="442"/>
      <c r="AN110" s="442"/>
      <c r="AO110" s="442"/>
      <c r="AP110" s="442"/>
      <c r="AQ110" s="442"/>
      <c r="AR110" s="442"/>
      <c r="AS110" s="442"/>
      <c r="AT110" s="442"/>
      <c r="AU110" s="442"/>
      <c r="AV110" s="442"/>
      <c r="AW110" s="442"/>
      <c r="AX110" s="442"/>
      <c r="AY110" s="442"/>
      <c r="AZ110" s="442"/>
      <c r="BA110" s="442"/>
      <c r="BB110" s="442"/>
      <c r="BC110" s="442"/>
      <c r="BD110" s="442"/>
      <c r="BE110" s="442"/>
      <c r="BF110" s="442"/>
      <c r="BG110" s="442"/>
      <c r="BH110" s="442"/>
      <c r="BI110" s="442"/>
      <c r="BJ110" s="442"/>
      <c r="BK110" s="442"/>
      <c r="BL110" s="442"/>
      <c r="BM110" s="442"/>
      <c r="BN110" s="442"/>
      <c r="BO110" s="442"/>
      <c r="BP110" s="442"/>
      <c r="BQ110" s="442"/>
      <c r="BR110" s="442"/>
      <c r="BS110" s="442"/>
      <c r="BT110" s="442"/>
      <c r="BU110" s="442"/>
      <c r="BV110" s="442"/>
      <c r="BW110" s="442"/>
      <c r="BX110" s="442"/>
      <c r="BY110" s="442"/>
      <c r="BZ110" s="442"/>
      <c r="CA110" s="442"/>
      <c r="CB110" s="442"/>
      <c r="CC110" s="442"/>
      <c r="CD110" s="442"/>
      <c r="CE110" s="442"/>
      <c r="CF110" s="442"/>
    </row>
    <row r="111" spans="1:86" s="404" customFormat="1" ht="49.9" customHeight="1" x14ac:dyDescent="0.25">
      <c r="C111" s="405"/>
      <c r="I111" s="405"/>
      <c r="U111" s="753"/>
      <c r="AF111" s="753"/>
    </row>
  </sheetData>
  <sheetProtection algorithmName="SHA-512" hashValue="CDnwW16TO9T8KX0SZs3ETeTleDShpA7v77984PORE288hOd2wM+M2zjiHYaJ1va3rtLMuScJJfMStmmXdyX7zA==" saltValue="7Y1J6eMKwnzwc85Vu92Gpg==" spinCount="100000" sheet="1" selectLockedCells="1"/>
  <mergeCells count="105">
    <mergeCell ref="F109:H109"/>
    <mergeCell ref="F83:H83"/>
    <mergeCell ref="F84:H84"/>
    <mergeCell ref="F85:H85"/>
    <mergeCell ref="F86:I86"/>
    <mergeCell ref="F87:I87"/>
    <mergeCell ref="C86:C90"/>
    <mergeCell ref="C81:C85"/>
    <mergeCell ref="F88:H88"/>
    <mergeCell ref="F89:H89"/>
    <mergeCell ref="F90:H90"/>
    <mergeCell ref="AL55:AM55"/>
    <mergeCell ref="U52:V55"/>
    <mergeCell ref="W52:AD52"/>
    <mergeCell ref="AF52:AG55"/>
    <mergeCell ref="AH52:AM52"/>
    <mergeCell ref="W53:AD53"/>
    <mergeCell ref="AH53:AM53"/>
    <mergeCell ref="W54:AD54"/>
    <mergeCell ref="AH54:AM54"/>
    <mergeCell ref="W55:X55"/>
    <mergeCell ref="Y55:Z55"/>
    <mergeCell ref="AA55:AB55"/>
    <mergeCell ref="AC55:AD55"/>
    <mergeCell ref="AH55:AI55"/>
    <mergeCell ref="AJ55:AK55"/>
    <mergeCell ref="B103:B108"/>
    <mergeCell ref="E58:H58"/>
    <mergeCell ref="I58:I59"/>
    <mergeCell ref="B58:B59"/>
    <mergeCell ref="C58:C59"/>
    <mergeCell ref="D58:D59"/>
    <mergeCell ref="C91:C93"/>
    <mergeCell ref="C94:C96"/>
    <mergeCell ref="C97:C99"/>
    <mergeCell ref="C100:C102"/>
    <mergeCell ref="C103:C105"/>
    <mergeCell ref="C106:C108"/>
    <mergeCell ref="B91:B102"/>
    <mergeCell ref="F76:H76"/>
    <mergeCell ref="F77:H77"/>
    <mergeCell ref="F78:H78"/>
    <mergeCell ref="F80:H80"/>
    <mergeCell ref="J58:J59"/>
    <mergeCell ref="F73:H73"/>
    <mergeCell ref="F69:H69"/>
    <mergeCell ref="F70:H70"/>
    <mergeCell ref="F71:H71"/>
    <mergeCell ref="F72:H72"/>
    <mergeCell ref="B9:B10"/>
    <mergeCell ref="B11:B13"/>
    <mergeCell ref="C66:C70"/>
    <mergeCell ref="C61:C65"/>
    <mergeCell ref="D53:E53"/>
    <mergeCell ref="D54:E54"/>
    <mergeCell ref="L9:L11"/>
    <mergeCell ref="S6:S7"/>
    <mergeCell ref="L6:L7"/>
    <mergeCell ref="M6:M7"/>
    <mergeCell ref="N6:N7"/>
    <mergeCell ref="O6:O7"/>
    <mergeCell ref="P6:P7"/>
    <mergeCell ref="C6:C7"/>
    <mergeCell ref="D6:D7"/>
    <mergeCell ref="H6:H7"/>
    <mergeCell ref="I6:I7"/>
    <mergeCell ref="Q6:Q7"/>
    <mergeCell ref="K6:K7"/>
    <mergeCell ref="E6:E7"/>
    <mergeCell ref="F6:F7"/>
    <mergeCell ref="G6:G7"/>
    <mergeCell ref="AD14:AH14"/>
    <mergeCell ref="V16:AA16"/>
    <mergeCell ref="B2:C2"/>
    <mergeCell ref="C76:C80"/>
    <mergeCell ref="C71:C75"/>
    <mergeCell ref="C25:C29"/>
    <mergeCell ref="C41:C43"/>
    <mergeCell ref="B41:B46"/>
    <mergeCell ref="B15:B39"/>
    <mergeCell ref="B61:B90"/>
    <mergeCell ref="C30:C34"/>
    <mergeCell ref="C15:C19"/>
    <mergeCell ref="C35:C39"/>
    <mergeCell ref="B49:B51"/>
    <mergeCell ref="B47:B48"/>
    <mergeCell ref="C44:C46"/>
    <mergeCell ref="C20:C24"/>
    <mergeCell ref="B6:B7"/>
    <mergeCell ref="L40:L45"/>
    <mergeCell ref="L47:L49"/>
    <mergeCell ref="L52:L55"/>
    <mergeCell ref="L24:L30"/>
    <mergeCell ref="K58:K59"/>
    <mergeCell ref="R6:R7"/>
    <mergeCell ref="V6:V11"/>
    <mergeCell ref="W6:AA6"/>
    <mergeCell ref="AD6:AD11"/>
    <mergeCell ref="AE6:AH6"/>
    <mergeCell ref="W7:AA7"/>
    <mergeCell ref="AE7:AH7"/>
    <mergeCell ref="W8:AA8"/>
    <mergeCell ref="AE8:AH8"/>
    <mergeCell ref="W9:AA9"/>
    <mergeCell ref="AE9:AH9"/>
  </mergeCells>
  <phoneticPr fontId="21" type="noConversion"/>
  <hyperlinks>
    <hyperlink ref="I40" r:id="rId1" display="Fonte: https://ttsl.pt/empresa/financiamento-europeu/saiba-mais-sobre-a-nova-frota-100-eletrica/" xr:uid="{4F640CF3-DB31-473C-9436-13A08408BF9E}"/>
    <hyperlink ref="D54:E54" r:id="rId2" display=" International  Transport Forum- BoardCPBGood to Go? Assessing the Environmental Performance of New Mobility" xr:uid="{9F0DB9CE-87B4-4E4D-B791-BF4906811620}"/>
    <hyperlink ref="I20" r:id="rId3" xr:uid="{2F94939F-F38B-40C3-A9A7-15D04749063D}"/>
    <hyperlink ref="K109" r:id="rId4" xr:uid="{A2EC7872-5CAB-4150-8D5F-60065F2A98A6}"/>
    <hyperlink ref="I8" r:id="rId5" display="APA (2025). Fator de emissão da eletricidade em " xr:uid="{E27ADC2F-263F-4457-8DAA-ADF9C570F16F}"/>
    <hyperlink ref="I11" r:id="rId6" xr:uid="{2DFBF69D-9776-43D6-81F1-B08B7EC5BA3A}"/>
    <hyperlink ref="I12" r:id="rId7" xr:uid="{47C64EE8-3C43-4B91-BBD6-A59431A19C92}"/>
    <hyperlink ref="I14" r:id="rId8" xr:uid="{FFFA77F9-F749-4BB8-B3D7-3B2CE772A7C0}"/>
    <hyperlink ref="I49" r:id="rId9" xr:uid="{25A32FF4-CCDE-452D-9A1F-6376554916EF}"/>
    <hyperlink ref="I35" r:id="rId10" xr:uid="{D2EB4F76-700F-45A6-8063-3CC6944E88AC}"/>
    <hyperlink ref="K60" r:id="rId11" display="FE de DEFRA 2025. " xr:uid="{299CEEE2-8069-4131-AA44-D06AA24FC670}"/>
    <hyperlink ref="K94" r:id="rId12" xr:uid="{C1622FA9-16E6-4A4A-8EA0-0F498599487D}"/>
    <hyperlink ref="K101" r:id="rId13" xr:uid="{15935519-5225-4B9F-A018-B0684993EE6A}"/>
    <hyperlink ref="K98" r:id="rId14" xr:uid="{99561486-F4BA-479A-BB8F-C89D237E8C2C}"/>
    <hyperlink ref="K95" r:id="rId15" xr:uid="{7FF56910-B33E-4C18-9ABD-764EFC9D9BC9}"/>
    <hyperlink ref="K92" r:id="rId16" xr:uid="{DE5376EA-FD61-49AA-A564-CD5C536786E5}"/>
  </hyperlinks>
  <pageMargins left="0.7" right="0.7" top="0.75" bottom="0.75" header="0.3" footer="0.3"/>
  <pageSetup paperSize="9" orientation="portrait" r:id="rId17"/>
  <drawing r:id="rId18"/>
  <legacyDrawing r:id="rId1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ED772-9160-4135-A24B-3ECE33B36CE9}">
  <sheetPr codeName="Sheet29">
    <tabColor rgb="FFFFD757"/>
  </sheetPr>
  <dimension ref="D1:AA50"/>
  <sheetViews>
    <sheetView showGridLines="0" topLeftCell="D1" zoomScale="70" zoomScaleNormal="70" workbookViewId="0">
      <selection activeCell="D13" sqref="D13"/>
    </sheetView>
  </sheetViews>
  <sheetFormatPr defaultColWidth="0" defaultRowHeight="15.75" zeroHeight="1" x14ac:dyDescent="0.25"/>
  <cols>
    <col min="1" max="3" width="8.7109375" style="5" hidden="1" customWidth="1"/>
    <col min="4" max="4" width="4" style="5" customWidth="1"/>
    <col min="5" max="5" width="34.28515625" style="5" customWidth="1"/>
    <col min="6" max="6" width="31.42578125" style="5" bestFit="1" customWidth="1"/>
    <col min="7" max="7" width="30.28515625" style="5" bestFit="1" customWidth="1"/>
    <col min="8" max="8" width="31.28515625" style="5" bestFit="1" customWidth="1"/>
    <col min="9" max="20" width="8.7109375" style="5" customWidth="1"/>
    <col min="21" max="21" width="58.7109375" style="5" customWidth="1"/>
    <col min="22" max="16384" width="8.7109375" style="5" hidden="1"/>
  </cols>
  <sheetData>
    <row r="1" spans="4:27" x14ac:dyDescent="0.25"/>
    <row r="2" spans="4:27" s="401" customFormat="1" ht="70.150000000000006" customHeight="1" x14ac:dyDescent="0.25">
      <c r="D2"/>
      <c r="E2" s="1638" t="s">
        <v>451</v>
      </c>
      <c r="F2" s="1638"/>
      <c r="G2" s="1638"/>
      <c r="H2" s="399"/>
      <c r="I2" s="399"/>
      <c r="J2" s="399"/>
      <c r="K2" s="399"/>
      <c r="L2" s="399"/>
      <c r="M2" s="402"/>
      <c r="N2" s="399"/>
      <c r="O2" s="403"/>
      <c r="P2" s="403"/>
      <c r="Q2" s="399"/>
      <c r="R2" s="399"/>
      <c r="S2" s="399"/>
      <c r="T2" s="399"/>
      <c r="U2" s="399"/>
      <c r="V2" s="399"/>
      <c r="W2" s="399"/>
      <c r="X2" s="399"/>
      <c r="Y2" s="399"/>
      <c r="Z2" s="399"/>
      <c r="AA2" s="399"/>
    </row>
    <row r="3" spans="4:27" x14ac:dyDescent="0.25"/>
    <row r="4" spans="4:27" x14ac:dyDescent="0.25"/>
    <row r="5" spans="4:27" ht="18.75" x14ac:dyDescent="0.3">
      <c r="E5" s="500" t="s">
        <v>21</v>
      </c>
      <c r="F5" s="11"/>
      <c r="G5" s="11"/>
      <c r="H5" s="11"/>
      <c r="I5" s="7"/>
    </row>
    <row r="6" spans="4:27" x14ac:dyDescent="0.25">
      <c r="E6" s="502" t="s">
        <v>22</v>
      </c>
      <c r="F6" s="501"/>
      <c r="G6" s="501"/>
      <c r="H6" s="501"/>
      <c r="I6" s="7"/>
    </row>
    <row r="7" spans="4:27" x14ac:dyDescent="0.25">
      <c r="E7" s="11"/>
      <c r="F7" s="11"/>
      <c r="G7" s="11"/>
      <c r="H7" s="11"/>
      <c r="I7" s="7"/>
    </row>
    <row r="8" spans="4:27" x14ac:dyDescent="0.25">
      <c r="E8" s="1703" t="s">
        <v>23</v>
      </c>
      <c r="F8" s="1703"/>
      <c r="G8" s="1703"/>
      <c r="H8" s="1703"/>
      <c r="I8" s="7"/>
    </row>
    <row r="9" spans="4:27" x14ac:dyDescent="0.25">
      <c r="E9" s="997" t="s">
        <v>24</v>
      </c>
      <c r="F9" s="998" t="s">
        <v>25</v>
      </c>
      <c r="G9" s="998" t="s">
        <v>26</v>
      </c>
      <c r="H9" s="998" t="s">
        <v>27</v>
      </c>
      <c r="I9" s="7"/>
    </row>
    <row r="10" spans="4:27" x14ac:dyDescent="0.25">
      <c r="E10" s="997" t="s">
        <v>28</v>
      </c>
      <c r="F10" s="998" t="s">
        <v>29</v>
      </c>
      <c r="G10" s="1000"/>
      <c r="H10" s="1006"/>
      <c r="I10" s="7"/>
    </row>
    <row r="11" spans="4:27" x14ac:dyDescent="0.25">
      <c r="E11" s="997" t="s">
        <v>30</v>
      </c>
      <c r="F11" s="998" t="s">
        <v>31</v>
      </c>
      <c r="G11" s="998" t="s">
        <v>32</v>
      </c>
      <c r="H11" s="1008"/>
      <c r="I11" s="7"/>
    </row>
    <row r="12" spans="4:27" x14ac:dyDescent="0.25">
      <c r="E12" s="997" t="s">
        <v>33</v>
      </c>
      <c r="F12" s="998" t="s">
        <v>29</v>
      </c>
      <c r="G12" s="998" t="s">
        <v>34</v>
      </c>
      <c r="H12" s="998" t="s">
        <v>35</v>
      </c>
      <c r="I12" s="7"/>
    </row>
    <row r="13" spans="4:27" x14ac:dyDescent="0.25">
      <c r="E13" s="1703" t="s">
        <v>36</v>
      </c>
      <c r="F13" s="1703"/>
      <c r="G13" s="1703"/>
      <c r="H13" s="1703"/>
      <c r="I13" s="7"/>
    </row>
    <row r="14" spans="4:27" ht="18" x14ac:dyDescent="0.25">
      <c r="E14" s="997" t="s">
        <v>1108</v>
      </c>
      <c r="F14" s="998" t="s">
        <v>37</v>
      </c>
      <c r="G14" s="998" t="s">
        <v>38</v>
      </c>
      <c r="H14" s="1006"/>
      <c r="I14" s="7"/>
    </row>
    <row r="15" spans="4:27" ht="18" x14ac:dyDescent="0.25">
      <c r="E15" s="997" t="s">
        <v>1108</v>
      </c>
      <c r="F15" s="998" t="s">
        <v>39</v>
      </c>
      <c r="G15" s="998" t="s">
        <v>1109</v>
      </c>
      <c r="H15" s="1008"/>
      <c r="I15" s="7"/>
    </row>
    <row r="16" spans="4:27" ht="18" x14ac:dyDescent="0.25">
      <c r="E16" s="997" t="s">
        <v>40</v>
      </c>
      <c r="F16" s="998" t="s">
        <v>41</v>
      </c>
      <c r="G16" s="998" t="s">
        <v>42</v>
      </c>
      <c r="H16" s="998" t="s">
        <v>1110</v>
      </c>
      <c r="I16" s="7"/>
    </row>
    <row r="17" spans="5:9" ht="18" x14ac:dyDescent="0.25">
      <c r="E17" s="997" t="s">
        <v>43</v>
      </c>
      <c r="F17" s="998" t="s">
        <v>44</v>
      </c>
      <c r="G17" s="998" t="s">
        <v>45</v>
      </c>
      <c r="H17" s="998" t="s">
        <v>1111</v>
      </c>
      <c r="I17" s="7"/>
    </row>
    <row r="18" spans="5:9" ht="18" x14ac:dyDescent="0.25">
      <c r="E18" s="997" t="s">
        <v>46</v>
      </c>
      <c r="F18" s="998" t="s">
        <v>1112</v>
      </c>
      <c r="G18" s="998" t="s">
        <v>47</v>
      </c>
      <c r="H18" s="1000"/>
      <c r="I18" s="7"/>
    </row>
    <row r="19" spans="5:9" ht="18" x14ac:dyDescent="0.25">
      <c r="E19" s="997" t="s">
        <v>1113</v>
      </c>
      <c r="F19" s="998" t="s">
        <v>48</v>
      </c>
      <c r="G19" s="998" t="s">
        <v>49</v>
      </c>
      <c r="H19" s="998" t="s">
        <v>50</v>
      </c>
      <c r="I19" s="7"/>
    </row>
    <row r="20" spans="5:9" x14ac:dyDescent="0.25">
      <c r="E20" s="1703" t="s">
        <v>2</v>
      </c>
      <c r="F20" s="1703"/>
      <c r="G20" s="1703"/>
      <c r="H20" s="1703"/>
      <c r="I20" s="7"/>
    </row>
    <row r="21" spans="5:9" x14ac:dyDescent="0.25">
      <c r="E21" s="997" t="s">
        <v>51</v>
      </c>
      <c r="F21" s="998" t="s">
        <v>52</v>
      </c>
      <c r="G21" s="998" t="s">
        <v>53</v>
      </c>
      <c r="H21" s="1006"/>
      <c r="I21" s="7"/>
    </row>
    <row r="22" spans="5:9" x14ac:dyDescent="0.25">
      <c r="E22" s="997" t="s">
        <v>54</v>
      </c>
      <c r="F22" s="998" t="s">
        <v>55</v>
      </c>
      <c r="G22" s="998"/>
      <c r="H22" s="1007"/>
      <c r="I22" s="7"/>
    </row>
    <row r="23" spans="5:9" x14ac:dyDescent="0.25">
      <c r="E23" s="997" t="s">
        <v>56</v>
      </c>
      <c r="F23" s="998" t="s">
        <v>57</v>
      </c>
      <c r="G23" s="998" t="s">
        <v>58</v>
      </c>
      <c r="H23" s="1007"/>
      <c r="I23" s="7"/>
    </row>
    <row r="24" spans="5:9" x14ac:dyDescent="0.25">
      <c r="E24" s="997" t="s">
        <v>59</v>
      </c>
      <c r="F24" s="998" t="s">
        <v>60</v>
      </c>
      <c r="G24" s="998"/>
      <c r="H24" s="1007"/>
      <c r="I24" s="7"/>
    </row>
    <row r="25" spans="5:9" x14ac:dyDescent="0.25">
      <c r="E25" s="997" t="s">
        <v>61</v>
      </c>
      <c r="F25" s="998" t="s">
        <v>62</v>
      </c>
      <c r="G25" s="998" t="s">
        <v>63</v>
      </c>
      <c r="H25" s="1007"/>
      <c r="I25" s="7"/>
    </row>
    <row r="26" spans="5:9" x14ac:dyDescent="0.25">
      <c r="E26" s="997" t="s">
        <v>64</v>
      </c>
      <c r="F26" s="998" t="s">
        <v>65</v>
      </c>
      <c r="G26" s="1001"/>
      <c r="H26" s="1009"/>
      <c r="I26" s="7"/>
    </row>
    <row r="27" spans="5:9" x14ac:dyDescent="0.25">
      <c r="E27" s="1703" t="s">
        <v>66</v>
      </c>
      <c r="F27" s="1703"/>
      <c r="G27" s="1002"/>
      <c r="H27" s="1003"/>
      <c r="I27" s="7"/>
    </row>
    <row r="28" spans="5:9" x14ac:dyDescent="0.25">
      <c r="E28" s="997" t="s">
        <v>67</v>
      </c>
      <c r="F28" s="998" t="s">
        <v>68</v>
      </c>
      <c r="G28" s="1002"/>
      <c r="H28" s="1003"/>
      <c r="I28" s="7"/>
    </row>
    <row r="29" spans="5:9" x14ac:dyDescent="0.25">
      <c r="E29" s="997" t="s">
        <v>69</v>
      </c>
      <c r="F29" s="998" t="s">
        <v>70</v>
      </c>
      <c r="G29" s="1002"/>
      <c r="H29" s="1003"/>
      <c r="I29" s="7"/>
    </row>
    <row r="30" spans="5:9" x14ac:dyDescent="0.25">
      <c r="E30" s="1703" t="s">
        <v>71</v>
      </c>
      <c r="F30" s="1703"/>
      <c r="G30" s="1002"/>
      <c r="H30" s="1003"/>
      <c r="I30" s="7"/>
    </row>
    <row r="31" spans="5:9" ht="18" x14ac:dyDescent="0.25">
      <c r="E31" s="997" t="s">
        <v>72</v>
      </c>
      <c r="F31" s="999" t="s">
        <v>1114</v>
      </c>
      <c r="G31" s="1002"/>
      <c r="H31" s="1003"/>
      <c r="I31" s="7"/>
    </row>
    <row r="32" spans="5:9" ht="18" x14ac:dyDescent="0.25">
      <c r="E32" s="997" t="s">
        <v>73</v>
      </c>
      <c r="F32" s="999" t="s">
        <v>1115</v>
      </c>
      <c r="G32" s="1002"/>
      <c r="H32" s="1003"/>
      <c r="I32" s="7"/>
    </row>
    <row r="33" spans="5:9" ht="18" x14ac:dyDescent="0.25">
      <c r="E33" s="997" t="s">
        <v>74</v>
      </c>
      <c r="F33" s="999" t="s">
        <v>1116</v>
      </c>
      <c r="G33" s="1002"/>
      <c r="H33" s="1003"/>
      <c r="I33" s="7"/>
    </row>
    <row r="34" spans="5:9" ht="18" x14ac:dyDescent="0.25">
      <c r="E34" s="997" t="s">
        <v>75</v>
      </c>
      <c r="F34" s="999" t="s">
        <v>1117</v>
      </c>
      <c r="G34" s="1002"/>
      <c r="H34" s="1003"/>
      <c r="I34" s="7"/>
    </row>
    <row r="35" spans="5:9" x14ac:dyDescent="0.25">
      <c r="E35" s="997" t="s">
        <v>76</v>
      </c>
      <c r="F35" s="998">
        <v>12</v>
      </c>
      <c r="G35" s="1002"/>
      <c r="H35" s="1003"/>
      <c r="I35" s="7"/>
    </row>
    <row r="36" spans="5:9" ht="18.75" x14ac:dyDescent="0.25">
      <c r="E36" s="997" t="s">
        <v>1118</v>
      </c>
      <c r="F36" s="998">
        <v>44</v>
      </c>
      <c r="G36" s="1004"/>
      <c r="H36" s="1005"/>
      <c r="I36" s="7"/>
    </row>
    <row r="37" spans="5:9" x14ac:dyDescent="0.25">
      <c r="E37" s="11"/>
      <c r="F37" s="11"/>
      <c r="G37" s="11"/>
      <c r="H37" s="11"/>
      <c r="I37" s="7"/>
    </row>
    <row r="38" spans="5:9" x14ac:dyDescent="0.25"/>
    <row r="39" spans="5:9" x14ac:dyDescent="0.25"/>
    <row r="40" spans="5:9" x14ac:dyDescent="0.25"/>
    <row r="41" spans="5:9" x14ac:dyDescent="0.25"/>
    <row r="42" spans="5:9" x14ac:dyDescent="0.25"/>
    <row r="43" spans="5:9" x14ac:dyDescent="0.25"/>
    <row r="44" spans="5:9" x14ac:dyDescent="0.25"/>
    <row r="45" spans="5:9" x14ac:dyDescent="0.25"/>
    <row r="46" spans="5:9" x14ac:dyDescent="0.25"/>
    <row r="47" spans="5:9" x14ac:dyDescent="0.25"/>
    <row r="48" spans="5:9" x14ac:dyDescent="0.25"/>
    <row r="49" x14ac:dyDescent="0.25"/>
    <row r="50" x14ac:dyDescent="0.25"/>
  </sheetData>
  <sheetProtection algorithmName="SHA-512" hashValue="PVW/meL2rqEtHY8FMvQ/RC7lPzbh38GXWYtcCz3IrGs8DeghG/gtsm5lSB1MgmWeU6rVphTyr6pz01ntnu2MhA==" saltValue="6A8Q3iVPpZLRZvJDguoHcA==" spinCount="100000" sheet="1" selectLockedCells="1" selectUnlockedCells="1"/>
  <mergeCells count="6">
    <mergeCell ref="E30:F30"/>
    <mergeCell ref="E2:G2"/>
    <mergeCell ref="E8:H8"/>
    <mergeCell ref="E13:H13"/>
    <mergeCell ref="E20:H20"/>
    <mergeCell ref="E27:F2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7520-E744-41E1-A3BF-33204610377C}">
  <sheetPr codeName="Sheet30">
    <tabColor rgb="FFFFD757"/>
  </sheetPr>
  <dimension ref="A1:XFC53"/>
  <sheetViews>
    <sheetView showGridLines="0" zoomScale="70" zoomScaleNormal="70" workbookViewId="0">
      <selection activeCell="F14" sqref="F14"/>
    </sheetView>
  </sheetViews>
  <sheetFormatPr defaultColWidth="0" defaultRowHeight="15.6" customHeight="1" zeroHeight="1" x14ac:dyDescent="0.25"/>
  <cols>
    <col min="1" max="1" width="2.7109375" style="5" customWidth="1"/>
    <col min="2" max="2" width="34.28515625" style="5" customWidth="1"/>
    <col min="3" max="3" width="31.42578125" style="5" bestFit="1" customWidth="1"/>
    <col min="4" max="4" width="30.28515625" style="5" bestFit="1" customWidth="1"/>
    <col min="5" max="5" width="31.28515625" style="5" bestFit="1" customWidth="1"/>
    <col min="6" max="6" width="19.28515625" style="5" customWidth="1"/>
    <col min="7" max="18" width="8.7109375" style="5" customWidth="1"/>
    <col min="19" max="16383" width="8.7109375" style="5" hidden="1"/>
    <col min="16384" max="16384" width="41.42578125" style="5" customWidth="1"/>
  </cols>
  <sheetData>
    <row r="1" spans="1:27" ht="15.75" x14ac:dyDescent="0.25"/>
    <row r="2" spans="1:27" s="401" customFormat="1" ht="70.150000000000006" customHeight="1" x14ac:dyDescent="0.25">
      <c r="A2"/>
      <c r="B2" s="400" t="s">
        <v>515</v>
      </c>
      <c r="C2" s="400"/>
      <c r="D2" s="400"/>
      <c r="E2" s="400"/>
      <c r="F2" s="400"/>
      <c r="G2" s="400"/>
      <c r="H2" s="399"/>
      <c r="I2" s="399"/>
      <c r="J2" s="399"/>
      <c r="K2" s="399"/>
      <c r="L2" s="399"/>
      <c r="M2" s="402"/>
      <c r="N2" s="399"/>
      <c r="O2" s="403"/>
      <c r="P2" s="403"/>
      <c r="Q2" s="399"/>
      <c r="R2" s="399"/>
      <c r="S2" s="399"/>
      <c r="T2" s="399"/>
      <c r="U2" s="399"/>
      <c r="V2" s="399"/>
      <c r="W2" s="399"/>
      <c r="X2" s="399"/>
      <c r="Y2" s="399"/>
      <c r="Z2" s="399"/>
      <c r="AA2" s="399"/>
    </row>
    <row r="3" spans="1:27" ht="15.75" x14ac:dyDescent="0.25"/>
    <row r="4" spans="1:27" ht="15.75" x14ac:dyDescent="0.25"/>
    <row r="5" spans="1:27" ht="15.75" x14ac:dyDescent="0.25"/>
    <row r="6" spans="1:27" ht="19.5" thickBot="1" x14ac:dyDescent="0.35">
      <c r="B6" s="500" t="s">
        <v>93</v>
      </c>
      <c r="C6" s="1010"/>
      <c r="D6" s="1010"/>
      <c r="E6" s="1010"/>
      <c r="F6" s="1011"/>
    </row>
    <row r="7" spans="1:27" ht="19.5" thickBot="1" x14ac:dyDescent="0.35">
      <c r="B7" s="1012"/>
      <c r="C7" s="1010"/>
      <c r="D7" s="1010"/>
      <c r="E7" s="1010"/>
      <c r="F7" s="1011"/>
    </row>
    <row r="8" spans="1:27" ht="20.25" thickTop="1" thickBot="1" x14ac:dyDescent="0.35">
      <c r="B8" s="1013" t="s">
        <v>94</v>
      </c>
      <c r="C8" s="1707" t="s">
        <v>479</v>
      </c>
      <c r="D8" s="1707"/>
      <c r="E8" s="1707"/>
      <c r="F8" s="1014"/>
    </row>
    <row r="9" spans="1:27" ht="25.9" customHeight="1" thickTop="1" thickBot="1" x14ac:dyDescent="0.35">
      <c r="B9" s="1013" t="s">
        <v>95</v>
      </c>
      <c r="C9" s="1707" t="s">
        <v>96</v>
      </c>
      <c r="D9" s="1707"/>
      <c r="E9" s="1707"/>
      <c r="F9" s="1015"/>
    </row>
    <row r="10" spans="1:27" ht="20.25" thickTop="1" thickBot="1" x14ac:dyDescent="0.35">
      <c r="B10" s="1013" t="s">
        <v>104</v>
      </c>
      <c r="C10" s="1708" t="s">
        <v>1354</v>
      </c>
      <c r="D10" s="1707"/>
      <c r="E10" s="1707"/>
      <c r="F10" s="1015"/>
    </row>
    <row r="11" spans="1:27" ht="40.9" customHeight="1" thickTop="1" thickBot="1" x14ac:dyDescent="0.35">
      <c r="B11" s="1013" t="s">
        <v>97</v>
      </c>
      <c r="C11" s="1709" t="s">
        <v>1306</v>
      </c>
      <c r="D11" s="1707"/>
      <c r="E11" s="1707"/>
      <c r="F11" s="1015"/>
    </row>
    <row r="12" spans="1:27" ht="27" customHeight="1" thickTop="1" thickBot="1" x14ac:dyDescent="0.35">
      <c r="B12" s="1013" t="s">
        <v>98</v>
      </c>
      <c r="C12" s="1710" t="s">
        <v>1355</v>
      </c>
      <c r="D12" s="1707"/>
      <c r="E12" s="1707"/>
      <c r="F12" s="1015"/>
    </row>
    <row r="13" spans="1:27" ht="15.6" customHeight="1" thickTop="1" x14ac:dyDescent="0.3">
      <c r="B13" s="446"/>
      <c r="C13" s="446"/>
      <c r="D13" s="446"/>
      <c r="E13" s="446"/>
      <c r="F13" s="446"/>
    </row>
    <row r="14" spans="1:27" ht="62.45" customHeight="1" x14ac:dyDescent="0.25">
      <c r="B14" s="1711" t="s">
        <v>1356</v>
      </c>
      <c r="C14" s="1711"/>
      <c r="D14" s="1711"/>
      <c r="E14" s="1711"/>
      <c r="F14" s="1240" t="s">
        <v>1237</v>
      </c>
      <c r="G14" s="909"/>
      <c r="H14" s="909"/>
      <c r="I14" s="909"/>
    </row>
    <row r="15" spans="1:27" ht="15.6" customHeight="1" x14ac:dyDescent="0.3">
      <c r="B15" s="1132"/>
      <c r="C15" s="446"/>
      <c r="D15" s="446"/>
      <c r="E15" s="446"/>
      <c r="F15" s="446"/>
    </row>
    <row r="16" spans="1:27" ht="15.6" customHeight="1" x14ac:dyDescent="0.3">
      <c r="B16" s="500" t="s">
        <v>478</v>
      </c>
      <c r="C16" s="446"/>
      <c r="D16" s="446"/>
      <c r="E16" s="446"/>
      <c r="F16" s="446"/>
    </row>
    <row r="17" spans="2:6" ht="15.6" customHeight="1" x14ac:dyDescent="0.3">
      <c r="B17" s="446"/>
      <c r="C17" s="446"/>
      <c r="D17" s="446"/>
      <c r="E17" s="446"/>
      <c r="F17" s="446"/>
    </row>
    <row r="18" spans="2:6" ht="15.6" customHeight="1" x14ac:dyDescent="0.3">
      <c r="B18" s="1016" t="s">
        <v>99</v>
      </c>
      <c r="C18" s="1016" t="s">
        <v>100</v>
      </c>
      <c r="D18" s="1704" t="s">
        <v>101</v>
      </c>
      <c r="E18" s="1704"/>
      <c r="F18" s="1704"/>
    </row>
    <row r="19" spans="2:6" ht="15.6" customHeight="1" x14ac:dyDescent="0.3">
      <c r="B19" s="1127" t="s">
        <v>102</v>
      </c>
      <c r="C19" s="1128"/>
      <c r="D19" s="1705"/>
      <c r="E19" s="1706"/>
      <c r="F19" s="1706"/>
    </row>
    <row r="20" spans="2:6" ht="15.6" customHeight="1" x14ac:dyDescent="0.25">
      <c r="B20" s="1129"/>
      <c r="C20" s="1129"/>
      <c r="D20" s="1129"/>
      <c r="E20" s="1129"/>
      <c r="F20" s="1129"/>
    </row>
    <row r="21" spans="2:6" ht="15.6" customHeight="1" x14ac:dyDescent="0.25">
      <c r="B21" s="1129"/>
      <c r="C21" s="1129"/>
      <c r="D21" s="1129"/>
      <c r="E21" s="1129"/>
      <c r="F21" s="1129"/>
    </row>
    <row r="22" spans="2:6" ht="15.6" customHeight="1" x14ac:dyDescent="0.25">
      <c r="B22" s="1129"/>
      <c r="C22" s="1129"/>
      <c r="D22" s="1129"/>
      <c r="E22" s="1129"/>
      <c r="F22" s="1129"/>
    </row>
    <row r="23" spans="2:6" ht="15.6" customHeight="1" x14ac:dyDescent="0.25">
      <c r="B23" s="1129"/>
      <c r="C23" s="1129"/>
      <c r="D23" s="1129"/>
      <c r="E23" s="1129"/>
      <c r="F23" s="1129"/>
    </row>
    <row r="24" spans="2:6" ht="15.6" customHeight="1" x14ac:dyDescent="0.25">
      <c r="B24" s="1129"/>
      <c r="C24" s="1129"/>
      <c r="D24" s="1129"/>
      <c r="E24" s="1129"/>
      <c r="F24" s="1129"/>
    </row>
    <row r="25" spans="2:6" ht="15.6" customHeight="1" x14ac:dyDescent="0.25">
      <c r="B25" s="1129"/>
      <c r="C25" s="1129"/>
      <c r="D25" s="1129"/>
      <c r="E25" s="1129"/>
      <c r="F25" s="1129"/>
    </row>
    <row r="26" spans="2:6" ht="15.6" customHeight="1" x14ac:dyDescent="0.25">
      <c r="B26" s="1129"/>
      <c r="C26" s="1129"/>
      <c r="D26" s="1129"/>
      <c r="E26" s="1129"/>
      <c r="F26" s="1129"/>
    </row>
    <row r="27" spans="2:6" ht="15.6" customHeight="1" x14ac:dyDescent="0.25">
      <c r="B27" s="1129"/>
      <c r="C27" s="1129"/>
      <c r="D27" s="1129"/>
      <c r="E27" s="1129"/>
      <c r="F27" s="1129"/>
    </row>
    <row r="28" spans="2:6" ht="15.6" customHeight="1" x14ac:dyDescent="0.25">
      <c r="B28" s="1129"/>
      <c r="C28" s="1129"/>
      <c r="D28" s="1129"/>
      <c r="E28" s="1129"/>
      <c r="F28" s="1129"/>
    </row>
    <row r="29" spans="2:6" ht="15.6" customHeight="1" x14ac:dyDescent="0.25">
      <c r="B29" s="1129"/>
      <c r="C29" s="1129"/>
      <c r="D29" s="1129"/>
      <c r="E29" s="1129"/>
      <c r="F29" s="1129"/>
    </row>
    <row r="30" spans="2:6" ht="15.6" customHeight="1" x14ac:dyDescent="0.25">
      <c r="B30" s="1129"/>
      <c r="C30" s="1129"/>
      <c r="D30" s="1129"/>
      <c r="E30" s="1129"/>
      <c r="F30" s="1129"/>
    </row>
    <row r="31" spans="2:6" ht="15.6" customHeight="1" x14ac:dyDescent="0.25">
      <c r="B31" s="1129"/>
      <c r="C31" s="1129"/>
      <c r="D31" s="1129"/>
      <c r="E31" s="1129"/>
      <c r="F31" s="1129"/>
    </row>
    <row r="32" spans="2:6" ht="15.6" customHeight="1" x14ac:dyDescent="0.25">
      <c r="B32" s="1129"/>
      <c r="C32" s="1129"/>
      <c r="D32" s="1129"/>
      <c r="E32" s="1129"/>
      <c r="F32" s="1129"/>
    </row>
    <row r="33" spans="2:6" ht="15.6" customHeight="1" x14ac:dyDescent="0.25">
      <c r="B33" s="1129"/>
      <c r="C33" s="1129"/>
      <c r="D33" s="1129"/>
      <c r="E33" s="1129"/>
      <c r="F33" s="1129"/>
    </row>
    <row r="34" spans="2:6" ht="15.6" customHeight="1" x14ac:dyDescent="0.25">
      <c r="B34" s="1129"/>
      <c r="C34" s="1129"/>
      <c r="D34" s="1129"/>
      <c r="E34" s="1129"/>
      <c r="F34" s="1129"/>
    </row>
    <row r="35" spans="2:6" ht="15.6" customHeight="1" x14ac:dyDescent="0.25">
      <c r="B35" s="1129"/>
      <c r="C35" s="1129"/>
      <c r="D35" s="1129"/>
      <c r="E35" s="1129"/>
      <c r="F35" s="1129"/>
    </row>
    <row r="36" spans="2:6" ht="15.6" customHeight="1" x14ac:dyDescent="0.25">
      <c r="B36" s="1129"/>
      <c r="C36" s="1129"/>
      <c r="D36" s="1129"/>
      <c r="E36" s="1129"/>
      <c r="F36" s="1129"/>
    </row>
    <row r="37" spans="2:6" ht="15.6" customHeight="1" x14ac:dyDescent="0.25">
      <c r="B37" s="1129"/>
      <c r="C37" s="1129"/>
      <c r="D37" s="1129"/>
      <c r="E37" s="1129"/>
      <c r="F37" s="1129"/>
    </row>
    <row r="38" spans="2:6" ht="15.6" customHeight="1" x14ac:dyDescent="0.25">
      <c r="B38" s="1129"/>
      <c r="C38" s="1129"/>
      <c r="D38" s="1129"/>
      <c r="E38" s="1129"/>
      <c r="F38" s="1129"/>
    </row>
    <row r="39" spans="2:6" ht="15.6" customHeight="1" x14ac:dyDescent="0.25">
      <c r="B39" s="1129"/>
      <c r="C39" s="1129"/>
      <c r="D39" s="1129"/>
      <c r="E39" s="1129"/>
      <c r="F39" s="1129"/>
    </row>
    <row r="40" spans="2:6" ht="15.6" customHeight="1" x14ac:dyDescent="0.25">
      <c r="B40" s="1129"/>
      <c r="C40" s="1129"/>
      <c r="D40" s="1129"/>
      <c r="E40" s="1129"/>
      <c r="F40" s="1129"/>
    </row>
    <row r="41" spans="2:6" ht="15.6" customHeight="1" x14ac:dyDescent="0.25">
      <c r="B41" s="1129"/>
      <c r="C41" s="1129"/>
      <c r="D41" s="1129"/>
      <c r="E41" s="1129"/>
      <c r="F41" s="1129"/>
    </row>
    <row r="42" spans="2:6" ht="15.6" customHeight="1" x14ac:dyDescent="0.25">
      <c r="B42" s="1129"/>
      <c r="C42" s="1129"/>
      <c r="D42" s="1129"/>
      <c r="E42" s="1129"/>
      <c r="F42" s="1129"/>
    </row>
    <row r="43" spans="2:6" ht="15.6" customHeight="1" x14ac:dyDescent="0.25">
      <c r="B43" s="1129"/>
      <c r="C43" s="1129"/>
      <c r="D43" s="1129"/>
      <c r="E43" s="1129"/>
      <c r="F43" s="1129"/>
    </row>
    <row r="44" spans="2:6" ht="15.6" customHeight="1" x14ac:dyDescent="0.25">
      <c r="B44" s="1129"/>
      <c r="C44" s="1129"/>
      <c r="D44" s="1129"/>
      <c r="E44" s="1129"/>
      <c r="F44" s="1129"/>
    </row>
    <row r="45" spans="2:6" ht="15.6" customHeight="1" x14ac:dyDescent="0.25">
      <c r="B45" s="1129"/>
      <c r="C45" s="1129"/>
      <c r="D45" s="1129"/>
      <c r="E45" s="1129"/>
      <c r="F45" s="1129"/>
    </row>
    <row r="46" spans="2:6" ht="15.6" customHeight="1" x14ac:dyDescent="0.25">
      <c r="B46" s="1129"/>
      <c r="C46" s="1129"/>
      <c r="D46" s="1129"/>
      <c r="E46" s="1129"/>
      <c r="F46" s="1129"/>
    </row>
    <row r="47" spans="2:6" ht="15.6" customHeight="1" x14ac:dyDescent="0.25"/>
    <row r="48" spans="2:6" ht="15.6" customHeight="1" x14ac:dyDescent="0.25"/>
    <row r="49" ht="15.6" customHeight="1" x14ac:dyDescent="0.25"/>
    <row r="50" ht="15.6" customHeight="1" x14ac:dyDescent="0.25"/>
    <row r="51" ht="15.6" customHeight="1" x14ac:dyDescent="0.25"/>
    <row r="52" ht="15.6" customHeight="1" x14ac:dyDescent="0.25"/>
    <row r="53" ht="15.6" customHeight="1" x14ac:dyDescent="0.25"/>
  </sheetData>
  <sheetProtection algorithmName="SHA-512" hashValue="NOx0J2simlTr9qDMnBvbgzznS931LvMN+tf2fdguY9mtjgQN5RG6YSdEue/DZJPsdL+FQsr0QDOBEPO92N70ow==" saltValue="uGyAv0BoStPjcx8i4ZxNhg==" spinCount="100000" sheet="1" objects="1" scenarios="1" selectLockedCells="1" selectUnlockedCells="1"/>
  <mergeCells count="8">
    <mergeCell ref="D18:F18"/>
    <mergeCell ref="D19:F19"/>
    <mergeCell ref="C8:E8"/>
    <mergeCell ref="C9:E9"/>
    <mergeCell ref="C10:E10"/>
    <mergeCell ref="C11:E11"/>
    <mergeCell ref="C12:E12"/>
    <mergeCell ref="B14:E14"/>
  </mergeCells>
  <phoneticPr fontId="21" type="noConversion"/>
  <hyperlinks>
    <hyperlink ref="F14" r:id="rId1" xr:uid="{FAD7D876-0D0B-4E88-9CFC-150B39C1E538}"/>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4E650-D384-4D5A-83EC-01F50A1DE0F5}">
  <sheetPr>
    <tabColor theme="1"/>
  </sheetPr>
  <dimension ref="A1:Y40"/>
  <sheetViews>
    <sheetView showGridLines="0" zoomScale="70" zoomScaleNormal="70" workbookViewId="0">
      <pane ySplit="2" topLeftCell="A3" activePane="bottomLeft" state="frozen"/>
      <selection activeCell="D13" sqref="D13"/>
      <selection pane="bottomLeft" activeCell="D13" sqref="D13"/>
    </sheetView>
  </sheetViews>
  <sheetFormatPr defaultColWidth="8.7109375" defaultRowHeight="45" customHeight="1" x14ac:dyDescent="0.3"/>
  <cols>
    <col min="1" max="1" width="3" style="26" customWidth="1"/>
    <col min="2" max="21" width="8.7109375" style="26" customWidth="1"/>
    <col min="22" max="22" width="10.140625" style="26" customWidth="1"/>
    <col min="23" max="26" width="8.7109375" style="26" customWidth="1"/>
    <col min="27" max="16384" width="8.7109375" style="26"/>
  </cols>
  <sheetData>
    <row r="1" spans="1:25" ht="9.6" customHeight="1" x14ac:dyDescent="0.3"/>
    <row r="2" spans="1:25" s="642" customFormat="1" ht="70.150000000000006" customHeight="1" x14ac:dyDescent="0.25">
      <c r="A2" s="645"/>
      <c r="B2" s="643" t="s">
        <v>786</v>
      </c>
      <c r="C2" s="643"/>
      <c r="D2" s="643"/>
      <c r="E2" s="643"/>
      <c r="F2" s="644"/>
      <c r="G2" s="644"/>
      <c r="H2" s="644"/>
      <c r="I2" s="644"/>
      <c r="J2" s="644"/>
      <c r="K2" s="644"/>
      <c r="L2" s="644"/>
      <c r="M2" s="644"/>
      <c r="N2" s="644"/>
      <c r="O2" s="644"/>
      <c r="P2" s="644"/>
      <c r="Q2" s="644"/>
      <c r="R2" s="644"/>
      <c r="S2" s="644"/>
      <c r="T2" s="644"/>
      <c r="U2" s="644"/>
      <c r="V2" s="644"/>
      <c r="W2" s="644"/>
      <c r="X2" s="644"/>
      <c r="Y2" s="644"/>
    </row>
    <row r="3" spans="1:25" ht="7.9" customHeight="1" x14ac:dyDescent="0.3"/>
    <row r="4" spans="1:25" ht="18.75" x14ac:dyDescent="0.3">
      <c r="B4"/>
    </row>
    <row r="5" spans="1:25" ht="18.75" x14ac:dyDescent="0.3"/>
    <row r="6" spans="1:25" ht="23.25" x14ac:dyDescent="0.35">
      <c r="B6" s="79"/>
    </row>
    <row r="7" spans="1:25" ht="18.75" x14ac:dyDescent="0.3">
      <c r="B7" s="80"/>
    </row>
    <row r="8" spans="1:25" ht="41.45" customHeight="1" x14ac:dyDescent="0.3">
      <c r="B8" s="1263"/>
      <c r="C8" s="1263"/>
      <c r="D8" s="1263"/>
      <c r="E8" s="1263"/>
      <c r="F8" s="1263"/>
      <c r="G8" s="1263"/>
      <c r="H8" s="1263"/>
      <c r="I8" s="1263"/>
      <c r="J8" s="1263"/>
      <c r="K8" s="1263"/>
      <c r="L8" s="1263"/>
      <c r="M8" s="1263"/>
      <c r="N8" s="1263"/>
      <c r="O8" s="1263"/>
      <c r="P8" s="1263"/>
      <c r="Q8" s="1263"/>
      <c r="R8" s="1263"/>
      <c r="S8" s="1263"/>
      <c r="T8" s="1263"/>
      <c r="U8" s="1263"/>
      <c r="V8" s="1263"/>
      <c r="W8" s="1263"/>
    </row>
    <row r="9" spans="1:25" ht="34.9" customHeight="1" x14ac:dyDescent="0.3">
      <c r="B9" s="1264"/>
      <c r="C9" s="1264"/>
      <c r="D9" s="1264"/>
      <c r="E9" s="1264"/>
      <c r="F9" s="1264"/>
      <c r="G9" s="1264"/>
      <c r="H9" s="1264"/>
      <c r="I9" s="1264"/>
      <c r="J9" s="1264"/>
      <c r="K9" s="1264"/>
      <c r="L9" s="1264"/>
      <c r="M9" s="1264"/>
      <c r="N9" s="1264"/>
      <c r="O9" s="1264"/>
      <c r="P9" s="1264"/>
      <c r="Q9" s="1264"/>
      <c r="R9" s="1264"/>
      <c r="S9" s="1264"/>
      <c r="T9" s="1264"/>
      <c r="U9" s="1264"/>
      <c r="V9" s="1264"/>
      <c r="W9" s="1264"/>
    </row>
    <row r="10" spans="1:25" ht="12.6" customHeight="1" x14ac:dyDescent="0.3">
      <c r="B10" s="1263"/>
      <c r="C10" s="1263"/>
      <c r="D10" s="1263"/>
      <c r="E10" s="1263"/>
      <c r="F10" s="1263"/>
      <c r="G10" s="1263"/>
      <c r="H10" s="1263"/>
      <c r="I10" s="1263"/>
      <c r="J10" s="1263"/>
      <c r="K10" s="1263"/>
      <c r="L10" s="1263"/>
      <c r="M10" s="1263"/>
      <c r="N10" s="1263"/>
      <c r="O10" s="1263"/>
      <c r="P10" s="1263"/>
      <c r="Q10" s="1263"/>
      <c r="R10" s="1263"/>
      <c r="S10" s="1263"/>
      <c r="T10" s="1263"/>
      <c r="U10" s="1263"/>
      <c r="V10" s="1263"/>
      <c r="W10" s="1263"/>
    </row>
    <row r="11" spans="1:25" ht="36.6" customHeight="1" x14ac:dyDescent="0.3">
      <c r="B11" s="1263"/>
      <c r="C11" s="1263"/>
      <c r="D11" s="1263"/>
      <c r="E11" s="1263"/>
      <c r="F11" s="1263"/>
      <c r="G11" s="1263"/>
      <c r="H11" s="1263"/>
      <c r="I11" s="1263"/>
      <c r="J11" s="1263"/>
      <c r="K11" s="1263"/>
      <c r="L11" s="1263"/>
      <c r="M11" s="1263"/>
      <c r="N11" s="1263"/>
      <c r="O11" s="1263"/>
      <c r="P11" s="1263"/>
      <c r="Q11" s="1263"/>
      <c r="R11" s="1263"/>
      <c r="S11" s="1263"/>
      <c r="T11" s="1263"/>
      <c r="U11" s="1263"/>
      <c r="V11" s="1263"/>
      <c r="W11" s="1263"/>
    </row>
    <row r="12" spans="1:25" ht="24.6" customHeight="1" x14ac:dyDescent="0.3">
      <c r="B12" s="81"/>
      <c r="C12" s="81"/>
      <c r="D12" s="81"/>
      <c r="E12" s="81"/>
      <c r="F12" s="81"/>
      <c r="G12" s="81"/>
      <c r="H12" s="81"/>
      <c r="I12" s="81"/>
      <c r="J12" s="81"/>
      <c r="K12" s="81"/>
      <c r="L12" s="81"/>
      <c r="M12" s="81"/>
      <c r="N12" s="81"/>
      <c r="O12" s="81"/>
      <c r="P12" s="81"/>
      <c r="Q12" s="81"/>
      <c r="R12" s="81"/>
      <c r="S12" s="81"/>
      <c r="T12" s="81"/>
      <c r="U12" s="81"/>
      <c r="V12" s="81"/>
      <c r="W12" s="81"/>
    </row>
    <row r="13" spans="1:25" ht="24.6" customHeight="1" x14ac:dyDescent="0.3">
      <c r="B13" s="81"/>
      <c r="C13" s="81"/>
      <c r="D13" s="81"/>
      <c r="E13" s="81"/>
      <c r="F13" s="81"/>
      <c r="G13" s="81"/>
      <c r="H13" s="81"/>
      <c r="I13" s="81"/>
      <c r="J13" s="81"/>
      <c r="K13" s="81"/>
      <c r="L13" s="81"/>
      <c r="M13" s="81"/>
      <c r="N13" s="81"/>
      <c r="O13" s="81"/>
      <c r="P13" s="81"/>
      <c r="Q13" s="81"/>
      <c r="R13" s="81"/>
      <c r="S13" s="81"/>
      <c r="T13" s="81"/>
      <c r="U13" s="81"/>
      <c r="V13" s="81"/>
      <c r="W13" s="81"/>
    </row>
    <row r="14" spans="1:25" ht="43.15" customHeight="1" x14ac:dyDescent="0.3">
      <c r="B14" s="81"/>
      <c r="C14" s="81"/>
      <c r="D14" s="81"/>
      <c r="E14" s="81"/>
      <c r="F14" s="81"/>
      <c r="G14" s="81"/>
      <c r="H14" s="81"/>
      <c r="I14" s="81"/>
      <c r="J14" s="81"/>
      <c r="K14" s="81"/>
      <c r="L14" s="81"/>
      <c r="M14" s="81"/>
      <c r="N14" s="81"/>
      <c r="O14" s="81"/>
      <c r="P14" s="81"/>
      <c r="Q14" s="81"/>
      <c r="R14" s="81"/>
      <c r="S14" s="81"/>
      <c r="T14" s="81"/>
      <c r="U14" s="81"/>
      <c r="V14" s="81"/>
      <c r="W14" s="81"/>
    </row>
    <row r="15" spans="1:25" ht="18.75" x14ac:dyDescent="0.3"/>
    <row r="16" spans="1:25" ht="18.75" x14ac:dyDescent="0.3"/>
    <row r="17" ht="18.75" x14ac:dyDescent="0.3"/>
    <row r="18" ht="18.75" x14ac:dyDescent="0.3"/>
    <row r="19" ht="18.75" x14ac:dyDescent="0.3"/>
    <row r="20" ht="18.75" x14ac:dyDescent="0.3"/>
    <row r="21" ht="18.75" x14ac:dyDescent="0.3"/>
    <row r="22" ht="18.75" x14ac:dyDescent="0.3"/>
    <row r="23" ht="18.75" x14ac:dyDescent="0.3"/>
    <row r="24" ht="14.45" customHeight="1" x14ac:dyDescent="0.3"/>
    <row r="25" ht="14.45" customHeight="1" x14ac:dyDescent="0.3"/>
    <row r="26" ht="14.45" customHeight="1" x14ac:dyDescent="0.3"/>
    <row r="27" ht="14.45" customHeight="1" x14ac:dyDescent="0.3"/>
    <row r="28" ht="14.45" customHeight="1" x14ac:dyDescent="0.3"/>
    <row r="29" ht="14.45" customHeight="1" x14ac:dyDescent="0.3"/>
    <row r="30" ht="14.45" customHeight="1" x14ac:dyDescent="0.3"/>
    <row r="31" ht="14.45" customHeight="1" x14ac:dyDescent="0.3"/>
    <row r="32" ht="14.45" customHeight="1" x14ac:dyDescent="0.3"/>
    <row r="33" ht="14.45" customHeight="1" x14ac:dyDescent="0.3"/>
    <row r="34" ht="14.45" customHeight="1" x14ac:dyDescent="0.3"/>
    <row r="35" ht="14.45" customHeight="1" x14ac:dyDescent="0.3"/>
    <row r="36" ht="14.45" customHeight="1" x14ac:dyDescent="0.3"/>
    <row r="37" ht="14.45" customHeight="1" x14ac:dyDescent="0.3"/>
    <row r="38" ht="14.45" customHeight="1" x14ac:dyDescent="0.3"/>
    <row r="39" ht="14.45" customHeight="1" x14ac:dyDescent="0.3"/>
    <row r="40" ht="14.45" customHeight="1" x14ac:dyDescent="0.3"/>
  </sheetData>
  <sheetProtection algorithmName="SHA-512" hashValue="CXlhuttdJXmT1lzhs1IFdmGwZCXaLDwD6wFboI/cE1qjzgxXpE+hRxk+3xkxoxb3pdpJvkjQDc7NBHBRUWSplA==" saltValue="OYheOmBiMsUebokcjyjKcg==" spinCount="100000" sheet="1" objects="1" selectLockedCells="1" selectUnlockedCells="1"/>
  <mergeCells count="4">
    <mergeCell ref="B8:W8"/>
    <mergeCell ref="B9:W9"/>
    <mergeCell ref="B10:W10"/>
    <mergeCell ref="B11:W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41070-73C8-4785-87B1-2FE90D0AC213}">
  <sheetPr>
    <tabColor theme="1"/>
  </sheetPr>
  <dimension ref="A1:Y336"/>
  <sheetViews>
    <sheetView showGridLines="0" topLeftCell="A2" zoomScale="70" zoomScaleNormal="70" workbookViewId="0">
      <pane ySplit="8" topLeftCell="A10" activePane="bottomLeft" state="frozen"/>
      <selection activeCell="D13" sqref="D13"/>
      <selection pane="bottomLeft" activeCell="A2" sqref="A2"/>
    </sheetView>
  </sheetViews>
  <sheetFormatPr defaultColWidth="8.7109375" defaultRowHeight="15" x14ac:dyDescent="0.25"/>
  <cols>
    <col min="1" max="1" width="2.7109375" customWidth="1"/>
    <col min="2" max="2" width="29.85546875" customWidth="1"/>
    <col min="3" max="3" width="28.7109375" customWidth="1"/>
    <col min="4" max="4" width="29.28515625" customWidth="1"/>
    <col min="5" max="5" width="29" customWidth="1"/>
    <col min="6" max="6" width="31" customWidth="1"/>
    <col min="7" max="7" width="31.5703125" customWidth="1"/>
    <col min="8" max="8" width="25.7109375" customWidth="1"/>
    <col min="9" max="9" width="34.85546875" customWidth="1"/>
    <col min="10" max="10" width="36.28515625" customWidth="1"/>
    <col min="11" max="11" width="41.7109375" customWidth="1"/>
    <col min="12" max="15" width="13.7109375" customWidth="1"/>
  </cols>
  <sheetData>
    <row r="1" spans="1:25" s="26" customFormat="1" ht="18.75" x14ac:dyDescent="0.3"/>
    <row r="2" spans="1:25" s="26" customFormat="1" ht="13.9" customHeight="1" x14ac:dyDescent="0.3"/>
    <row r="3" spans="1:25" s="642" customFormat="1" ht="70.150000000000006" customHeight="1" x14ac:dyDescent="0.25">
      <c r="A3" s="645"/>
      <c r="B3" s="643" t="s">
        <v>560</v>
      </c>
      <c r="C3" s="643"/>
      <c r="D3" s="643"/>
      <c r="E3" s="643"/>
      <c r="F3" s="644"/>
      <c r="G3" s="644"/>
      <c r="H3" s="644"/>
      <c r="I3" s="644"/>
      <c r="J3" s="644"/>
      <c r="K3" s="644"/>
      <c r="L3" s="644"/>
      <c r="M3" s="644"/>
      <c r="N3" s="644"/>
      <c r="O3" s="644"/>
      <c r="P3" s="644"/>
      <c r="Q3" s="644"/>
      <c r="R3" s="644"/>
      <c r="S3" s="644"/>
      <c r="T3" s="644"/>
      <c r="U3" s="644"/>
      <c r="V3" s="644"/>
      <c r="W3" s="644"/>
      <c r="X3" s="644"/>
      <c r="Y3" s="644"/>
    </row>
    <row r="4" spans="1:25" s="536" customFormat="1" ht="9.6" customHeight="1" x14ac:dyDescent="0.25">
      <c r="A4" s="535"/>
      <c r="B4" s="535"/>
      <c r="C4" s="535"/>
      <c r="D4" s="535"/>
      <c r="E4" s="535"/>
      <c r="F4" s="535"/>
      <c r="G4" s="535"/>
      <c r="H4" s="535"/>
      <c r="I4" s="535"/>
      <c r="J4" s="535"/>
    </row>
    <row r="5" spans="1:25" s="536" customFormat="1" ht="9" customHeight="1" x14ac:dyDescent="0.25">
      <c r="A5" s="535"/>
      <c r="B5" s="659"/>
      <c r="C5" s="660"/>
      <c r="D5" s="661"/>
      <c r="E5" s="660"/>
      <c r="F5" s="661"/>
      <c r="G5" s="660"/>
      <c r="H5" s="662"/>
      <c r="I5" s="663"/>
      <c r="J5" s="1084"/>
      <c r="K5" s="1083"/>
      <c r="L5" s="1080"/>
      <c r="M5" s="1080"/>
      <c r="N5" s="1080"/>
    </row>
    <row r="6" spans="1:25" s="556" customFormat="1" ht="46.15" customHeight="1" x14ac:dyDescent="0.25">
      <c r="A6" s="555"/>
      <c r="B6" s="664"/>
      <c r="C6" s="1197" t="s">
        <v>558</v>
      </c>
      <c r="D6" s="665"/>
      <c r="E6" s="1103" t="s">
        <v>540</v>
      </c>
      <c r="F6" s="665"/>
      <c r="G6" s="1103" t="s">
        <v>588</v>
      </c>
      <c r="H6" s="666"/>
      <c r="I6" s="667"/>
      <c r="J6" s="1085"/>
      <c r="K6" s="1086"/>
      <c r="L6" s="1081"/>
      <c r="M6" s="1081"/>
      <c r="N6" s="1081"/>
    </row>
    <row r="7" spans="1:25" s="556" customFormat="1" ht="55.15" customHeight="1" x14ac:dyDescent="0.25">
      <c r="A7" s="555"/>
      <c r="B7" s="664"/>
      <c r="C7" s="1198" t="s">
        <v>532</v>
      </c>
      <c r="D7" s="665"/>
      <c r="E7" s="668" t="s">
        <v>550</v>
      </c>
      <c r="F7" s="665"/>
      <c r="G7" s="1197" t="s">
        <v>1274</v>
      </c>
      <c r="H7" s="668"/>
      <c r="I7" s="667"/>
      <c r="J7" s="1085"/>
      <c r="K7" s="1086"/>
      <c r="L7" s="1081"/>
      <c r="M7" s="1081"/>
      <c r="N7" s="1081"/>
    </row>
    <row r="8" spans="1:25" s="556" customFormat="1" ht="45.6" customHeight="1" x14ac:dyDescent="0.25">
      <c r="A8" s="555"/>
      <c r="B8" s="664"/>
      <c r="C8" s="1198" t="s">
        <v>539</v>
      </c>
      <c r="D8" s="665"/>
      <c r="E8" s="668" t="s">
        <v>551</v>
      </c>
      <c r="F8" s="665"/>
      <c r="G8" s="666"/>
      <c r="H8" s="669"/>
      <c r="I8" s="667"/>
      <c r="J8" s="1085"/>
      <c r="K8" s="1086"/>
      <c r="L8" s="1081"/>
      <c r="M8" s="1081"/>
      <c r="N8" s="1081"/>
    </row>
    <row r="9" spans="1:25" s="538" customFormat="1" ht="7.9" customHeight="1" x14ac:dyDescent="0.25">
      <c r="A9" s="537"/>
      <c r="B9" s="670"/>
      <c r="C9" s="671"/>
      <c r="D9" s="672"/>
      <c r="E9" s="673"/>
      <c r="F9" s="672"/>
      <c r="G9" s="674"/>
      <c r="H9" s="671"/>
      <c r="I9" s="675"/>
      <c r="J9" s="1087"/>
      <c r="K9" s="1088"/>
      <c r="L9" s="1082"/>
      <c r="M9" s="1082"/>
      <c r="N9" s="1082"/>
    </row>
    <row r="10" spans="1:25" s="536" customFormat="1" ht="15.75" x14ac:dyDescent="0.25">
      <c r="A10" s="535"/>
      <c r="I10" s="535"/>
      <c r="J10" s="1083"/>
      <c r="K10" s="1080"/>
      <c r="L10" s="1080"/>
      <c r="M10" s="1080"/>
      <c r="N10" s="1080"/>
    </row>
    <row r="11" spans="1:25" s="536" customFormat="1" ht="15.75" x14ac:dyDescent="0.25"/>
    <row r="12" spans="1:25" s="540" customFormat="1" ht="18" customHeight="1" x14ac:dyDescent="0.2">
      <c r="A12" s="543"/>
      <c r="B12" s="1314" t="s">
        <v>561</v>
      </c>
      <c r="C12" s="1314"/>
      <c r="D12" s="1314"/>
      <c r="E12" s="1314"/>
      <c r="F12" s="1314"/>
      <c r="G12" s="1314"/>
      <c r="H12" s="1314"/>
      <c r="I12" s="1314"/>
      <c r="J12" s="539"/>
      <c r="K12" s="539"/>
    </row>
    <row r="13" spans="1:25" s="540" customFormat="1" ht="19.899999999999999" customHeight="1" x14ac:dyDescent="0.2">
      <c r="B13" s="1314"/>
      <c r="C13" s="1314"/>
      <c r="D13" s="1314"/>
      <c r="E13" s="1314"/>
      <c r="F13" s="1314"/>
      <c r="G13" s="1314"/>
      <c r="H13" s="1314"/>
      <c r="I13" s="1314"/>
      <c r="J13" s="539"/>
      <c r="K13" s="539"/>
    </row>
    <row r="14" spans="1:25" s="536" customFormat="1" ht="19.899999999999999" customHeight="1" x14ac:dyDescent="0.25">
      <c r="B14" s="544"/>
      <c r="C14" s="544"/>
      <c r="D14" s="544"/>
      <c r="E14" s="544"/>
      <c r="F14" s="544"/>
      <c r="G14" s="544"/>
      <c r="H14" s="544"/>
      <c r="I14" s="544"/>
    </row>
    <row r="15" spans="1:25" s="542" customFormat="1" ht="19.899999999999999" customHeight="1" x14ac:dyDescent="0.25">
      <c r="B15" s="1328" t="s">
        <v>558</v>
      </c>
      <c r="C15" s="1329"/>
      <c r="D15" s="1329"/>
      <c r="E15" s="1329"/>
      <c r="F15" s="1329"/>
      <c r="G15" s="1329"/>
      <c r="H15" s="1329"/>
      <c r="I15" s="1330"/>
    </row>
    <row r="16" spans="1:25" s="541" customFormat="1" ht="80.45" customHeight="1" x14ac:dyDescent="0.2">
      <c r="B16" s="1331" t="s">
        <v>559</v>
      </c>
      <c r="C16" s="1332"/>
      <c r="D16" s="1276" t="s">
        <v>1275</v>
      </c>
      <c r="E16" s="1276"/>
      <c r="F16" s="1276"/>
      <c r="G16" s="1276"/>
      <c r="H16" s="1276"/>
      <c r="I16" s="1276"/>
      <c r="K16" s="1290"/>
      <c r="L16" s="1290"/>
      <c r="M16" s="1290"/>
      <c r="N16" s="1290"/>
      <c r="O16" s="1290"/>
    </row>
    <row r="17" spans="2:15" s="541" customFormat="1" ht="36.6" customHeight="1" x14ac:dyDescent="0.2">
      <c r="B17" s="1277" t="s">
        <v>683</v>
      </c>
      <c r="C17" s="1278"/>
      <c r="D17" s="1276" t="s">
        <v>787</v>
      </c>
      <c r="E17" s="1276"/>
      <c r="F17" s="1276"/>
      <c r="G17" s="1276"/>
      <c r="H17" s="1276"/>
      <c r="I17" s="1276"/>
      <c r="K17" s="678"/>
      <c r="L17" s="678"/>
      <c r="M17" s="678"/>
      <c r="N17" s="678"/>
      <c r="O17" s="678"/>
    </row>
    <row r="18" spans="2:15" s="541" customFormat="1" ht="58.9" customHeight="1" x14ac:dyDescent="0.2">
      <c r="B18" s="1279"/>
      <c r="C18" s="1280"/>
      <c r="D18" s="1283" t="s">
        <v>791</v>
      </c>
      <c r="E18" s="1284"/>
      <c r="F18" s="1284"/>
      <c r="G18" s="1284"/>
      <c r="H18" s="1284"/>
      <c r="I18" s="1285"/>
      <c r="K18" s="678"/>
      <c r="L18" s="678"/>
      <c r="M18" s="678"/>
      <c r="N18" s="678"/>
      <c r="O18" s="678"/>
    </row>
    <row r="19" spans="2:15" s="541" customFormat="1" ht="18.75" x14ac:dyDescent="0.2">
      <c r="B19" s="1281"/>
      <c r="C19" s="1282"/>
      <c r="D19" s="1283" t="s">
        <v>798</v>
      </c>
      <c r="E19" s="1284"/>
      <c r="F19" s="1284"/>
      <c r="G19" s="1284"/>
      <c r="H19" s="1284"/>
      <c r="I19" s="1285"/>
      <c r="K19" s="658"/>
      <c r="L19" s="1289"/>
      <c r="M19" s="1289"/>
      <c r="N19" s="1289"/>
      <c r="O19" s="1289"/>
    </row>
    <row r="20" spans="2:15" s="541" customFormat="1" ht="19.899999999999999" customHeight="1" x14ac:dyDescent="0.2">
      <c r="B20" s="586"/>
      <c r="C20" s="676"/>
      <c r="D20" s="677"/>
      <c r="E20" s="677"/>
      <c r="F20" s="677"/>
      <c r="G20" s="677"/>
      <c r="H20" s="677"/>
      <c r="I20" s="677"/>
      <c r="K20" s="658"/>
      <c r="L20" s="1289"/>
      <c r="M20" s="1289"/>
      <c r="N20" s="1289"/>
      <c r="O20" s="1289"/>
    </row>
    <row r="21" spans="2:15" s="541" customFormat="1" ht="19.899999999999999" customHeight="1" x14ac:dyDescent="0.2">
      <c r="B21" s="1312" t="s">
        <v>532</v>
      </c>
      <c r="C21" s="1312"/>
      <c r="D21" s="1312"/>
      <c r="E21" s="1312"/>
      <c r="F21" s="1312"/>
      <c r="G21" s="1312"/>
      <c r="H21" s="1312"/>
      <c r="I21" s="1312"/>
      <c r="K21" s="658"/>
      <c r="L21" s="1289"/>
      <c r="M21" s="1289"/>
      <c r="N21" s="1289"/>
      <c r="O21" s="1289"/>
    </row>
    <row r="22" spans="2:15" s="541" customFormat="1" ht="50.45" customHeight="1" x14ac:dyDescent="0.2">
      <c r="B22" s="1277" t="s">
        <v>533</v>
      </c>
      <c r="C22" s="1278"/>
      <c r="D22" s="1326" t="s">
        <v>1181</v>
      </c>
      <c r="E22" s="1326"/>
      <c r="F22" s="1326"/>
      <c r="G22" s="1326"/>
      <c r="H22" s="1326"/>
      <c r="I22" s="1326"/>
    </row>
    <row r="23" spans="2:15" s="541" customFormat="1" ht="38.450000000000003" customHeight="1" x14ac:dyDescent="0.2">
      <c r="B23" s="1279"/>
      <c r="C23" s="1280"/>
      <c r="D23" s="1283" t="s">
        <v>1182</v>
      </c>
      <c r="E23" s="1284"/>
      <c r="F23" s="1284"/>
      <c r="G23" s="1284"/>
      <c r="H23" s="1284"/>
      <c r="I23" s="1285"/>
    </row>
    <row r="24" spans="2:15" s="541" customFormat="1" ht="59.45" customHeight="1" x14ac:dyDescent="0.2">
      <c r="B24" s="1279"/>
      <c r="C24" s="1280"/>
      <c r="D24" s="1276" t="s">
        <v>1183</v>
      </c>
      <c r="E24" s="1276"/>
      <c r="F24" s="1276"/>
      <c r="G24" s="1276"/>
      <c r="H24" s="1276"/>
      <c r="I24" s="1276"/>
    </row>
    <row r="25" spans="2:15" s="541" customFormat="1" ht="59.45" customHeight="1" x14ac:dyDescent="0.2">
      <c r="B25" s="1281"/>
      <c r="C25" s="1282"/>
      <c r="D25" s="1276" t="s">
        <v>1184</v>
      </c>
      <c r="E25" s="1276"/>
      <c r="F25" s="1276"/>
      <c r="G25" s="1276"/>
      <c r="H25" s="1276"/>
      <c r="I25" s="1276"/>
    </row>
    <row r="26" spans="2:15" s="541" customFormat="1" ht="49.15" customHeight="1" x14ac:dyDescent="0.2">
      <c r="B26" s="1293" t="s">
        <v>531</v>
      </c>
      <c r="C26" s="1293"/>
      <c r="D26" s="1276" t="s">
        <v>788</v>
      </c>
      <c r="E26" s="1276"/>
      <c r="F26" s="1276"/>
      <c r="G26" s="1276"/>
      <c r="H26" s="1276"/>
      <c r="I26" s="1276"/>
    </row>
    <row r="27" spans="2:15" s="541" customFormat="1" ht="42" customHeight="1" x14ac:dyDescent="0.2">
      <c r="B27" s="1293"/>
      <c r="C27" s="1293"/>
      <c r="D27" s="1276" t="s">
        <v>1185</v>
      </c>
      <c r="E27" s="1276"/>
      <c r="F27" s="1276"/>
      <c r="G27" s="1276"/>
      <c r="H27" s="1276"/>
      <c r="I27" s="1276"/>
    </row>
    <row r="28" spans="2:15" s="541" customFormat="1" ht="19.899999999999999" customHeight="1" x14ac:dyDescent="0.2">
      <c r="B28" s="1277" t="s">
        <v>534</v>
      </c>
      <c r="C28" s="1278"/>
      <c r="D28" s="1276" t="s">
        <v>650</v>
      </c>
      <c r="E28" s="1276"/>
      <c r="F28" s="1276"/>
      <c r="G28" s="1276"/>
      <c r="H28" s="1276"/>
      <c r="I28" s="1276"/>
    </row>
    <row r="29" spans="2:15" s="541" customFormat="1" ht="19.899999999999999" customHeight="1" x14ac:dyDescent="0.2">
      <c r="B29" s="1281"/>
      <c r="C29" s="1282"/>
      <c r="D29" s="1283" t="s">
        <v>1307</v>
      </c>
      <c r="E29" s="1284"/>
      <c r="F29" s="1284"/>
      <c r="G29" s="1284"/>
      <c r="H29" s="1284"/>
      <c r="I29" s="1285"/>
    </row>
    <row r="30" spans="2:15" s="541" customFormat="1" ht="19.899999999999999" customHeight="1" x14ac:dyDescent="0.2">
      <c r="B30" s="1293" t="s">
        <v>536</v>
      </c>
      <c r="C30" s="1293"/>
      <c r="D30" s="1276" t="s">
        <v>790</v>
      </c>
      <c r="E30" s="1276"/>
      <c r="F30" s="1276"/>
      <c r="G30" s="1276"/>
      <c r="H30" s="1276"/>
      <c r="I30" s="1276"/>
    </row>
    <row r="31" spans="2:15" s="541" customFormat="1" ht="19.899999999999999" customHeight="1" x14ac:dyDescent="0.2">
      <c r="B31" s="1293"/>
      <c r="C31" s="1293"/>
      <c r="D31" s="1276" t="s">
        <v>789</v>
      </c>
      <c r="E31" s="1276"/>
      <c r="F31" s="1276"/>
      <c r="G31" s="1276"/>
      <c r="H31" s="1276"/>
      <c r="I31" s="1276"/>
    </row>
    <row r="32" spans="2:15" s="541" customFormat="1" ht="40.15" customHeight="1" x14ac:dyDescent="0.2">
      <c r="B32" s="656"/>
      <c r="C32" s="657" t="s">
        <v>535</v>
      </c>
      <c r="D32" s="1276" t="s">
        <v>628</v>
      </c>
      <c r="E32" s="1276"/>
      <c r="F32" s="1276"/>
      <c r="G32" s="1276"/>
      <c r="H32" s="1276"/>
      <c r="I32" s="1276"/>
    </row>
    <row r="33" spans="2:18" s="541" customFormat="1" ht="19.899999999999999" customHeight="1" x14ac:dyDescent="0.2">
      <c r="B33" s="585"/>
      <c r="C33" s="585"/>
      <c r="D33" s="585"/>
      <c r="E33" s="585"/>
      <c r="F33" s="585"/>
      <c r="G33" s="585"/>
      <c r="H33" s="585"/>
      <c r="I33" s="585"/>
    </row>
    <row r="34" spans="2:18" s="542" customFormat="1" ht="19.899999999999999" customHeight="1" x14ac:dyDescent="0.25">
      <c r="B34" s="1312" t="s">
        <v>539</v>
      </c>
      <c r="C34" s="1312"/>
      <c r="D34" s="1312"/>
      <c r="E34" s="1312"/>
      <c r="F34" s="1312"/>
      <c r="G34" s="1312"/>
      <c r="H34" s="1312"/>
      <c r="I34" s="1312"/>
    </row>
    <row r="35" spans="2:18" s="541" customFormat="1" ht="40.15" customHeight="1" x14ac:dyDescent="0.2">
      <c r="B35" s="1293" t="s">
        <v>1186</v>
      </c>
      <c r="C35" s="1293"/>
      <c r="D35" s="1276" t="s">
        <v>651</v>
      </c>
      <c r="E35" s="1276"/>
      <c r="F35" s="1276"/>
      <c r="G35" s="1276"/>
      <c r="H35" s="1276"/>
      <c r="I35" s="1276"/>
    </row>
    <row r="36" spans="2:18" s="541" customFormat="1" ht="42" customHeight="1" x14ac:dyDescent="0.2">
      <c r="B36" s="1293"/>
      <c r="C36" s="1293"/>
      <c r="D36" s="1297" t="s">
        <v>652</v>
      </c>
      <c r="E36" s="1297"/>
      <c r="F36" s="1297"/>
      <c r="G36" s="1297"/>
      <c r="H36" s="1297"/>
      <c r="I36" s="1297"/>
    </row>
    <row r="37" spans="2:18" s="541" customFormat="1" ht="55.9" customHeight="1" x14ac:dyDescent="0.2">
      <c r="B37" s="1293"/>
      <c r="C37" s="1293"/>
      <c r="D37" s="1297" t="s">
        <v>1187</v>
      </c>
      <c r="E37" s="1297"/>
      <c r="F37" s="1297"/>
      <c r="G37" s="1297"/>
      <c r="H37" s="1297"/>
      <c r="I37" s="1297"/>
    </row>
    <row r="38" spans="2:18" s="541" customFormat="1" ht="19.899999999999999" customHeight="1" x14ac:dyDescent="0.2">
      <c r="B38" s="1293" t="s">
        <v>543</v>
      </c>
      <c r="C38" s="1293"/>
      <c r="D38" s="1297" t="s">
        <v>653</v>
      </c>
      <c r="E38" s="1297"/>
      <c r="F38" s="1297"/>
      <c r="G38" s="1297"/>
      <c r="H38" s="1297"/>
      <c r="I38" s="1297"/>
    </row>
    <row r="39" spans="2:18" s="541" customFormat="1" ht="19.899999999999999" customHeight="1" x14ac:dyDescent="0.2">
      <c r="B39" s="1293"/>
      <c r="C39" s="1293"/>
      <c r="D39" s="1297" t="s">
        <v>654</v>
      </c>
      <c r="E39" s="1297"/>
      <c r="F39" s="1297"/>
      <c r="G39" s="1297"/>
      <c r="H39" s="1297"/>
      <c r="I39" s="1297"/>
    </row>
    <row r="40" spans="2:18" s="541" customFormat="1" ht="58.9" customHeight="1" x14ac:dyDescent="0.2">
      <c r="B40" s="1293"/>
      <c r="C40" s="1293"/>
      <c r="D40" s="1297" t="s">
        <v>1188</v>
      </c>
      <c r="E40" s="1297"/>
      <c r="F40" s="1297"/>
      <c r="G40" s="1297"/>
      <c r="H40" s="1297"/>
      <c r="I40" s="1297"/>
    </row>
    <row r="41" spans="2:18" s="541" customFormat="1" ht="23.45" customHeight="1" x14ac:dyDescent="0.2">
      <c r="B41" s="1293" t="s">
        <v>544</v>
      </c>
      <c r="C41" s="1293"/>
      <c r="D41" s="1297" t="s">
        <v>655</v>
      </c>
      <c r="E41" s="1297"/>
      <c r="F41" s="1297"/>
      <c r="G41" s="1297"/>
      <c r="H41" s="1297"/>
      <c r="I41" s="1297"/>
    </row>
    <row r="42" spans="2:18" s="541" customFormat="1" ht="22.9" customHeight="1" x14ac:dyDescent="0.2">
      <c r="B42" s="1293"/>
      <c r="C42" s="1293"/>
      <c r="D42" s="1297" t="s">
        <v>656</v>
      </c>
      <c r="E42" s="1297"/>
      <c r="F42" s="1297"/>
      <c r="G42" s="1297"/>
      <c r="H42" s="1297"/>
      <c r="I42" s="1297"/>
    </row>
    <row r="43" spans="2:18" s="541" customFormat="1" ht="56.45" customHeight="1" x14ac:dyDescent="0.2">
      <c r="B43" s="1293"/>
      <c r="C43" s="1293"/>
      <c r="D43" s="1297" t="s">
        <v>1214</v>
      </c>
      <c r="E43" s="1297"/>
      <c r="F43" s="1297"/>
      <c r="G43" s="1297"/>
      <c r="H43" s="1297"/>
      <c r="I43" s="1297"/>
      <c r="K43" s="1272"/>
      <c r="L43" s="1272"/>
      <c r="M43" s="1275"/>
      <c r="N43" s="1275"/>
      <c r="O43" s="1275"/>
      <c r="P43" s="1275"/>
      <c r="Q43" s="1275"/>
      <c r="R43" s="1275"/>
    </row>
    <row r="44" spans="2:18" s="541" customFormat="1" ht="25.15" customHeight="1" x14ac:dyDescent="0.2">
      <c r="B44" s="1295" t="s">
        <v>545</v>
      </c>
      <c r="C44" s="1295"/>
      <c r="D44" s="1297" t="s">
        <v>657</v>
      </c>
      <c r="E44" s="1297"/>
      <c r="F44" s="1297"/>
      <c r="G44" s="1297"/>
      <c r="H44" s="1297"/>
      <c r="I44" s="1297"/>
      <c r="K44" s="546"/>
      <c r="L44" s="546"/>
      <c r="M44" s="547"/>
      <c r="N44" s="547"/>
      <c r="O44" s="547"/>
      <c r="P44" s="547"/>
      <c r="Q44" s="547"/>
      <c r="R44" s="547"/>
    </row>
    <row r="45" spans="2:18" s="541" customFormat="1" ht="19.899999999999999" customHeight="1" x14ac:dyDescent="0.2">
      <c r="B45" s="1295"/>
      <c r="C45" s="1295"/>
      <c r="D45" s="1297" t="s">
        <v>658</v>
      </c>
      <c r="E45" s="1297"/>
      <c r="F45" s="1297"/>
      <c r="G45" s="1297"/>
      <c r="H45" s="1297"/>
      <c r="I45" s="1297"/>
      <c r="K45" s="546"/>
      <c r="L45" s="546"/>
      <c r="M45" s="547"/>
      <c r="N45" s="547"/>
      <c r="O45" s="547"/>
      <c r="P45" s="547"/>
      <c r="Q45" s="547"/>
      <c r="R45" s="547"/>
    </row>
    <row r="46" spans="2:18" s="541" customFormat="1" ht="36.6" customHeight="1" x14ac:dyDescent="0.2">
      <c r="B46" s="1295" t="s">
        <v>565</v>
      </c>
      <c r="C46" s="1295"/>
      <c r="D46" s="1297" t="s">
        <v>792</v>
      </c>
      <c r="E46" s="1297"/>
      <c r="F46" s="1297"/>
      <c r="G46" s="1297"/>
      <c r="H46" s="1297"/>
      <c r="I46" s="1297"/>
      <c r="K46" s="546"/>
      <c r="L46" s="546"/>
      <c r="M46" s="547"/>
      <c r="N46" s="547"/>
      <c r="O46" s="547"/>
      <c r="P46" s="547"/>
      <c r="Q46" s="547"/>
      <c r="R46" s="547"/>
    </row>
    <row r="47" spans="2:18" s="541" customFormat="1" ht="73.900000000000006" customHeight="1" x14ac:dyDescent="0.2">
      <c r="B47" s="1295"/>
      <c r="C47" s="1295"/>
      <c r="D47" s="1333" t="s">
        <v>1230</v>
      </c>
      <c r="E47" s="1333"/>
      <c r="F47" s="1333"/>
      <c r="G47" s="1333"/>
      <c r="H47" s="1333"/>
      <c r="I47" s="1333"/>
      <c r="K47" s="546"/>
      <c r="L47" s="546"/>
      <c r="M47" s="547"/>
      <c r="N47" s="547"/>
      <c r="O47" s="547"/>
      <c r="P47" s="547"/>
      <c r="Q47" s="547"/>
      <c r="R47" s="547"/>
    </row>
    <row r="48" spans="2:18" s="541" customFormat="1" ht="46.9" customHeight="1" x14ac:dyDescent="0.2">
      <c r="B48" s="1295" t="s">
        <v>547</v>
      </c>
      <c r="C48" s="1295"/>
      <c r="D48" s="1297" t="s">
        <v>659</v>
      </c>
      <c r="E48" s="1297"/>
      <c r="F48" s="1297"/>
      <c r="G48" s="1297"/>
      <c r="H48" s="1297"/>
      <c r="I48" s="1297"/>
      <c r="K48" s="546"/>
      <c r="L48" s="546"/>
      <c r="M48" s="547"/>
      <c r="N48" s="547"/>
      <c r="O48" s="547"/>
      <c r="P48" s="547"/>
      <c r="Q48" s="547"/>
      <c r="R48" s="547"/>
    </row>
    <row r="49" spans="2:18" s="541" customFormat="1" ht="41.45" customHeight="1" x14ac:dyDescent="0.2">
      <c r="B49" s="1295" t="s">
        <v>566</v>
      </c>
      <c r="C49" s="1295"/>
      <c r="D49" s="1297" t="s">
        <v>793</v>
      </c>
      <c r="E49" s="1297"/>
      <c r="F49" s="1297"/>
      <c r="G49" s="1297"/>
      <c r="H49" s="1297"/>
      <c r="I49" s="1297"/>
      <c r="J49" s="545"/>
      <c r="K49" s="548"/>
      <c r="L49" s="548"/>
      <c r="M49" s="1275"/>
      <c r="N49" s="1275"/>
      <c r="O49" s="1275"/>
      <c r="P49" s="1275"/>
      <c r="Q49" s="1275"/>
      <c r="R49" s="1275"/>
    </row>
    <row r="50" spans="2:18" s="541" customFormat="1" ht="57.6" customHeight="1" x14ac:dyDescent="0.2">
      <c r="B50" s="1295" t="s">
        <v>548</v>
      </c>
      <c r="C50" s="1295"/>
      <c r="D50" s="1297" t="s">
        <v>1189</v>
      </c>
      <c r="E50" s="1297"/>
      <c r="F50" s="1297"/>
      <c r="G50" s="1297"/>
      <c r="H50" s="1297"/>
      <c r="I50" s="1297"/>
    </row>
    <row r="51" spans="2:18" s="541" customFormat="1" ht="19.899999999999999" customHeight="1" x14ac:dyDescent="0.2">
      <c r="B51" s="586"/>
      <c r="C51" s="586"/>
      <c r="D51" s="587"/>
      <c r="E51" s="587"/>
      <c r="F51" s="587"/>
      <c r="G51" s="587"/>
      <c r="H51" s="587"/>
      <c r="I51" s="587"/>
    </row>
    <row r="52" spans="2:18" s="541" customFormat="1" ht="19.899999999999999" customHeight="1" x14ac:dyDescent="0.2">
      <c r="B52" s="1314" t="s">
        <v>546</v>
      </c>
      <c r="C52" s="1314"/>
      <c r="D52" s="1314"/>
      <c r="E52" s="1314"/>
      <c r="F52" s="1314"/>
      <c r="G52" s="1314"/>
      <c r="H52" s="1314"/>
      <c r="I52" s="1314"/>
    </row>
    <row r="53" spans="2:18" ht="14.45" customHeight="1" x14ac:dyDescent="0.25">
      <c r="B53" s="1314"/>
      <c r="C53" s="1314"/>
      <c r="D53" s="1314"/>
      <c r="E53" s="1314"/>
      <c r="F53" s="1314"/>
      <c r="G53" s="1314"/>
      <c r="H53" s="1314"/>
      <c r="I53" s="1314"/>
    </row>
    <row r="54" spans="2:18" ht="18.75" x14ac:dyDescent="0.25">
      <c r="B54" s="588"/>
      <c r="C54" s="588"/>
      <c r="D54" s="588"/>
      <c r="E54" s="588"/>
      <c r="F54" s="588"/>
      <c r="G54" s="588"/>
      <c r="H54" s="588"/>
      <c r="I54" s="588"/>
    </row>
    <row r="55" spans="2:18" s="542" customFormat="1" ht="19.899999999999999" customHeight="1" x14ac:dyDescent="0.25">
      <c r="B55" s="1312" t="s">
        <v>540</v>
      </c>
      <c r="C55" s="1312"/>
      <c r="D55" s="1312"/>
      <c r="E55" s="1312"/>
      <c r="F55" s="1312"/>
      <c r="G55" s="1312"/>
      <c r="H55" s="1312"/>
      <c r="I55" s="1312"/>
    </row>
    <row r="56" spans="2:18" s="536" customFormat="1" ht="19.149999999999999" customHeight="1" x14ac:dyDescent="0.25">
      <c r="B56" s="1331" t="s">
        <v>537</v>
      </c>
      <c r="C56" s="1332"/>
      <c r="D56" s="1327" t="s">
        <v>816</v>
      </c>
      <c r="E56" s="1327"/>
      <c r="F56" s="1327"/>
      <c r="G56" s="1327"/>
      <c r="H56" s="1327"/>
      <c r="I56" s="1327"/>
    </row>
    <row r="57" spans="2:18" s="536" customFormat="1" ht="37.9" customHeight="1" x14ac:dyDescent="0.25">
      <c r="B57" s="1293" t="s">
        <v>538</v>
      </c>
      <c r="C57" s="1293"/>
      <c r="D57" s="1327" t="s">
        <v>1190</v>
      </c>
      <c r="E57" s="1327"/>
      <c r="F57" s="1327"/>
      <c r="G57" s="1327"/>
      <c r="H57" s="1327"/>
      <c r="I57" s="1327"/>
    </row>
    <row r="58" spans="2:18" s="536" customFormat="1" ht="19.899999999999999" customHeight="1" x14ac:dyDescent="0.25">
      <c r="B58" s="1293"/>
      <c r="C58" s="1293"/>
      <c r="D58" s="1327" t="s">
        <v>1191</v>
      </c>
      <c r="E58" s="1327"/>
      <c r="F58" s="1327"/>
      <c r="G58" s="1327"/>
      <c r="H58" s="1327"/>
      <c r="I58" s="1327"/>
    </row>
    <row r="59" spans="2:18" ht="18.75" x14ac:dyDescent="0.3">
      <c r="B59" s="26"/>
      <c r="C59" s="26"/>
      <c r="D59" s="26"/>
      <c r="E59" s="26"/>
      <c r="F59" s="26"/>
      <c r="G59" s="26"/>
      <c r="H59" s="26"/>
      <c r="I59" s="26"/>
    </row>
    <row r="60" spans="2:18" ht="18.75" x14ac:dyDescent="0.25">
      <c r="B60" s="1312" t="s">
        <v>550</v>
      </c>
      <c r="C60" s="1312"/>
      <c r="D60" s="1312"/>
      <c r="E60" s="1312"/>
      <c r="F60" s="1312"/>
      <c r="G60" s="1312"/>
      <c r="H60" s="1312"/>
      <c r="I60" s="1312"/>
    </row>
    <row r="61" spans="2:18" ht="61.15" customHeight="1" x14ac:dyDescent="0.25">
      <c r="B61" s="1293" t="s">
        <v>549</v>
      </c>
      <c r="C61" s="1293"/>
      <c r="D61" s="1297" t="s">
        <v>1215</v>
      </c>
      <c r="E61" s="1297"/>
      <c r="F61" s="1297"/>
      <c r="G61" s="1297"/>
      <c r="H61" s="1297"/>
      <c r="I61" s="1297"/>
    </row>
    <row r="62" spans="2:18" ht="57.6" customHeight="1" x14ac:dyDescent="0.25">
      <c r="B62" s="1293"/>
      <c r="C62" s="1293"/>
      <c r="D62" s="1297" t="s">
        <v>592</v>
      </c>
      <c r="E62" s="1297"/>
      <c r="F62" s="1297"/>
      <c r="G62" s="1297"/>
      <c r="H62" s="1297"/>
      <c r="I62" s="1297"/>
    </row>
    <row r="63" spans="2:18" ht="22.15" customHeight="1" x14ac:dyDescent="0.25">
      <c r="B63" s="1293"/>
      <c r="C63" s="1293"/>
      <c r="D63" s="1297" t="s">
        <v>590</v>
      </c>
      <c r="E63" s="1297"/>
      <c r="F63" s="1297"/>
      <c r="G63" s="1286" t="s">
        <v>589</v>
      </c>
      <c r="H63" s="1287"/>
      <c r="I63" s="1288"/>
    </row>
    <row r="64" spans="2:18" ht="37.15" customHeight="1" x14ac:dyDescent="0.25">
      <c r="B64" s="1295" t="s">
        <v>552</v>
      </c>
      <c r="C64" s="1295"/>
      <c r="D64" s="1297" t="s">
        <v>660</v>
      </c>
      <c r="E64" s="1297"/>
      <c r="F64" s="1297"/>
      <c r="G64" s="1297"/>
      <c r="H64" s="1297"/>
      <c r="I64" s="1297"/>
    </row>
    <row r="65" spans="2:9" ht="93.6" customHeight="1" x14ac:dyDescent="0.25">
      <c r="B65" s="1295"/>
      <c r="C65" s="1295"/>
      <c r="D65" s="1297" t="s">
        <v>817</v>
      </c>
      <c r="E65" s="1297"/>
      <c r="F65" s="1297"/>
      <c r="G65" s="1297"/>
      <c r="H65" s="1297"/>
      <c r="I65" s="1297"/>
    </row>
    <row r="66" spans="2:9" ht="19.899999999999999" customHeight="1" x14ac:dyDescent="0.25">
      <c r="B66" s="1295"/>
      <c r="C66" s="1295"/>
      <c r="D66" s="1337" t="s">
        <v>591</v>
      </c>
      <c r="E66" s="1337"/>
      <c r="F66" s="1337"/>
      <c r="G66" s="1337"/>
      <c r="H66" s="1337"/>
      <c r="I66" s="1337"/>
    </row>
    <row r="67" spans="2:9" ht="19.899999999999999" customHeight="1" x14ac:dyDescent="0.25">
      <c r="B67" s="1295"/>
      <c r="C67" s="1295"/>
      <c r="D67" s="1294" t="s">
        <v>553</v>
      </c>
      <c r="E67" s="1294"/>
      <c r="F67" s="1294"/>
      <c r="G67" s="1294"/>
      <c r="H67" s="1294"/>
      <c r="I67" s="1294"/>
    </row>
    <row r="68" spans="2:9" ht="19.899999999999999" customHeight="1" x14ac:dyDescent="0.25">
      <c r="B68" s="1295"/>
      <c r="C68" s="1295"/>
      <c r="D68" s="1294" t="s">
        <v>554</v>
      </c>
      <c r="E68" s="1294"/>
      <c r="F68" s="1294"/>
      <c r="G68" s="1294"/>
      <c r="H68" s="1294"/>
      <c r="I68" s="1294"/>
    </row>
    <row r="69" spans="2:9" ht="19.899999999999999" customHeight="1" x14ac:dyDescent="0.25">
      <c r="B69" s="1295"/>
      <c r="C69" s="1295"/>
      <c r="D69" s="1294" t="s">
        <v>555</v>
      </c>
      <c r="E69" s="1294"/>
      <c r="F69" s="1294"/>
      <c r="G69" s="1294"/>
      <c r="H69" s="1294"/>
      <c r="I69" s="1294"/>
    </row>
    <row r="70" spans="2:9" ht="19.899999999999999" customHeight="1" x14ac:dyDescent="0.25">
      <c r="B70" s="1295"/>
      <c r="C70" s="1295"/>
      <c r="D70" s="1294" t="s">
        <v>556</v>
      </c>
      <c r="E70" s="1294"/>
      <c r="F70" s="1294"/>
      <c r="G70" s="1294"/>
      <c r="H70" s="1294"/>
      <c r="I70" s="1294"/>
    </row>
    <row r="71" spans="2:9" ht="18.75" x14ac:dyDescent="0.25">
      <c r="B71" s="1295"/>
      <c r="C71" s="1295"/>
      <c r="D71" s="1336" t="s">
        <v>794</v>
      </c>
      <c r="E71" s="1336"/>
      <c r="F71" s="1336"/>
      <c r="G71" s="1336"/>
      <c r="H71" s="1336"/>
      <c r="I71" s="1336"/>
    </row>
    <row r="72" spans="2:9" ht="18.75" x14ac:dyDescent="0.3">
      <c r="B72" s="26"/>
      <c r="C72" s="26"/>
      <c r="D72" s="26"/>
      <c r="E72" s="26"/>
      <c r="F72" s="26"/>
      <c r="G72" s="26"/>
      <c r="H72" s="26"/>
      <c r="I72" s="26"/>
    </row>
    <row r="73" spans="2:9" ht="18.75" x14ac:dyDescent="0.25">
      <c r="B73" s="1312" t="s">
        <v>551</v>
      </c>
      <c r="C73" s="1312"/>
      <c r="D73" s="1312"/>
      <c r="E73" s="1312"/>
      <c r="F73" s="1312"/>
      <c r="G73" s="1312"/>
      <c r="H73" s="1312"/>
      <c r="I73" s="1312"/>
    </row>
    <row r="74" spans="2:9" ht="109.9" customHeight="1" x14ac:dyDescent="0.25">
      <c r="B74" s="656"/>
      <c r="C74" s="657" t="s">
        <v>541</v>
      </c>
      <c r="D74" s="1276" t="s">
        <v>1222</v>
      </c>
      <c r="E74" s="1276"/>
      <c r="F74" s="1276"/>
      <c r="G74" s="1276"/>
      <c r="H74" s="1276"/>
      <c r="I74" s="1276"/>
    </row>
    <row r="75" spans="2:9" ht="78.599999999999994" customHeight="1" x14ac:dyDescent="0.25">
      <c r="B75" s="1295" t="s">
        <v>542</v>
      </c>
      <c r="C75" s="1295"/>
      <c r="D75" s="1276" t="s">
        <v>1192</v>
      </c>
      <c r="E75" s="1276"/>
      <c r="F75" s="1276"/>
      <c r="G75" s="1276"/>
      <c r="H75" s="1276"/>
      <c r="I75" s="1276"/>
    </row>
    <row r="76" spans="2:9" ht="57" customHeight="1" x14ac:dyDescent="0.25">
      <c r="B76" s="1291" t="s">
        <v>795</v>
      </c>
      <c r="C76" s="1292"/>
      <c r="D76" s="1276" t="s">
        <v>1193</v>
      </c>
      <c r="E76" s="1276"/>
      <c r="F76" s="1276"/>
      <c r="G76" s="1276"/>
      <c r="H76" s="1276"/>
      <c r="I76" s="1276"/>
    </row>
    <row r="77" spans="2:9" ht="17.45" customHeight="1" x14ac:dyDescent="0.25">
      <c r="B77" s="656"/>
      <c r="C77" s="657" t="s">
        <v>557</v>
      </c>
      <c r="D77" s="1297" t="s">
        <v>1232</v>
      </c>
      <c r="E77" s="1297"/>
      <c r="F77" s="1297"/>
      <c r="G77" s="1297"/>
      <c r="H77" s="1297"/>
      <c r="I77" s="1297"/>
    </row>
    <row r="78" spans="2:9" ht="18.75" x14ac:dyDescent="0.3">
      <c r="B78" s="26"/>
      <c r="C78" s="26"/>
      <c r="D78" s="26"/>
      <c r="E78" s="26"/>
      <c r="F78" s="26"/>
      <c r="G78" s="26"/>
      <c r="H78" s="26"/>
      <c r="I78" s="26"/>
    </row>
    <row r="79" spans="2:9" ht="14.45" customHeight="1" x14ac:dyDescent="0.25">
      <c r="B79" s="1314" t="s">
        <v>669</v>
      </c>
      <c r="C79" s="1314"/>
      <c r="D79" s="1314"/>
      <c r="E79" s="1314"/>
      <c r="F79" s="1314"/>
      <c r="G79" s="1314"/>
      <c r="H79" s="1314"/>
      <c r="I79" s="1314"/>
    </row>
    <row r="80" spans="2:9" ht="14.45" customHeight="1" x14ac:dyDescent="0.25">
      <c r="B80" s="1314"/>
      <c r="C80" s="1314"/>
      <c r="D80" s="1314"/>
      <c r="E80" s="1314"/>
      <c r="F80" s="1314"/>
      <c r="G80" s="1314"/>
      <c r="H80" s="1314"/>
      <c r="I80" s="1314"/>
    </row>
    <row r="81" spans="2:9" ht="18.75" x14ac:dyDescent="0.3">
      <c r="B81" s="26"/>
      <c r="C81" s="26"/>
      <c r="D81" s="26"/>
      <c r="E81" s="26"/>
      <c r="F81" s="26"/>
      <c r="G81" s="26"/>
      <c r="H81" s="26"/>
      <c r="I81" s="26"/>
    </row>
    <row r="82" spans="2:9" ht="18.75" x14ac:dyDescent="0.25">
      <c r="B82" s="1312" t="s">
        <v>588</v>
      </c>
      <c r="C82" s="1312"/>
      <c r="D82" s="1312"/>
      <c r="E82" s="1312"/>
      <c r="F82" s="1312"/>
      <c r="G82" s="1312"/>
      <c r="H82" s="1312"/>
      <c r="I82" s="1312"/>
    </row>
    <row r="83" spans="2:9" ht="18.75" x14ac:dyDescent="0.25">
      <c r="B83" s="1293" t="s">
        <v>562</v>
      </c>
      <c r="C83" s="1293"/>
      <c r="D83" s="1276" t="s">
        <v>661</v>
      </c>
      <c r="E83" s="1276"/>
      <c r="F83" s="1276"/>
      <c r="G83" s="1276"/>
      <c r="H83" s="1276"/>
      <c r="I83" s="1276"/>
    </row>
    <row r="84" spans="2:9" ht="24.6" customHeight="1" x14ac:dyDescent="0.25">
      <c r="B84" s="1293"/>
      <c r="C84" s="1293"/>
      <c r="D84" s="1276" t="s">
        <v>662</v>
      </c>
      <c r="E84" s="1276"/>
      <c r="F84" s="1276"/>
      <c r="G84" s="1276"/>
      <c r="H84" s="1276"/>
      <c r="I84" s="1276"/>
    </row>
    <row r="85" spans="2:9" ht="19.899999999999999" customHeight="1" x14ac:dyDescent="0.25">
      <c r="B85" s="1293"/>
      <c r="C85" s="1293"/>
      <c r="D85" s="1315" t="s">
        <v>586</v>
      </c>
      <c r="E85" s="1315"/>
      <c r="F85" s="1315"/>
      <c r="G85" s="1315"/>
      <c r="H85" s="1315"/>
      <c r="I85" s="1315"/>
    </row>
    <row r="86" spans="2:9" ht="23.45" customHeight="1" x14ac:dyDescent="0.25">
      <c r="B86" s="1293"/>
      <c r="C86" s="1293"/>
      <c r="D86" s="1315" t="s">
        <v>593</v>
      </c>
      <c r="E86" s="1315"/>
      <c r="F86" s="1315"/>
      <c r="G86" s="1315"/>
      <c r="H86" s="1315"/>
      <c r="I86" s="1315"/>
    </row>
    <row r="87" spans="2:9" ht="21.6" customHeight="1" x14ac:dyDescent="0.25">
      <c r="B87" s="1293"/>
      <c r="C87" s="1293"/>
      <c r="D87" s="1318" t="s">
        <v>594</v>
      </c>
      <c r="E87" s="1319"/>
      <c r="F87" s="1319"/>
      <c r="G87" s="1319"/>
      <c r="H87" s="1319"/>
      <c r="I87" s="1320"/>
    </row>
    <row r="88" spans="2:9" ht="24.6" customHeight="1" x14ac:dyDescent="0.25">
      <c r="B88" s="1293"/>
      <c r="C88" s="1293"/>
      <c r="D88" s="1317" t="s">
        <v>1227</v>
      </c>
      <c r="E88" s="1317"/>
      <c r="F88" s="1317"/>
      <c r="G88" s="1317"/>
      <c r="H88" s="1317"/>
      <c r="I88" s="1317"/>
    </row>
    <row r="89" spans="2:9" ht="63" customHeight="1" x14ac:dyDescent="0.25">
      <c r="B89" s="1293"/>
      <c r="C89" s="1293"/>
      <c r="D89" s="1316" t="s">
        <v>663</v>
      </c>
      <c r="E89" s="1316"/>
      <c r="F89" s="1316"/>
      <c r="G89" s="1316"/>
      <c r="H89" s="1316"/>
      <c r="I89" s="1316"/>
    </row>
    <row r="90" spans="2:9" ht="18" customHeight="1" x14ac:dyDescent="0.25">
      <c r="B90" s="1293"/>
      <c r="C90" s="1293"/>
      <c r="D90" s="1324" t="s">
        <v>1308</v>
      </c>
      <c r="E90" s="1325"/>
      <c r="F90" s="1325"/>
      <c r="G90" s="1241" t="s">
        <v>1309</v>
      </c>
      <c r="H90" s="1241"/>
      <c r="I90" s="1242"/>
    </row>
    <row r="91" spans="2:9" ht="19.899999999999999" customHeight="1" x14ac:dyDescent="0.25">
      <c r="B91" s="1293"/>
      <c r="C91" s="1293"/>
      <c r="D91" s="1321" t="s">
        <v>1197</v>
      </c>
      <c r="E91" s="1322"/>
      <c r="F91" s="1322"/>
      <c r="G91" s="1322"/>
      <c r="H91" s="1322"/>
      <c r="I91" s="1323"/>
    </row>
    <row r="92" spans="2:9" ht="19.899999999999999" customHeight="1" x14ac:dyDescent="0.25">
      <c r="B92" s="1293"/>
      <c r="C92" s="1293"/>
      <c r="D92" s="1317" t="s">
        <v>1194</v>
      </c>
      <c r="E92" s="1316"/>
      <c r="F92" s="1316"/>
      <c r="G92" s="1316"/>
      <c r="H92" s="1316"/>
      <c r="I92" s="1316"/>
    </row>
    <row r="93" spans="2:9" ht="19.899999999999999" customHeight="1" x14ac:dyDescent="0.25">
      <c r="B93" s="1293"/>
      <c r="C93" s="1293"/>
      <c r="D93" s="1317" t="s">
        <v>1195</v>
      </c>
      <c r="E93" s="1316"/>
      <c r="F93" s="1316"/>
      <c r="G93" s="1316"/>
      <c r="H93" s="1316"/>
      <c r="I93" s="1316"/>
    </row>
    <row r="94" spans="2:9" ht="34.15" customHeight="1" x14ac:dyDescent="0.25">
      <c r="B94" s="1293"/>
      <c r="C94" s="1293"/>
      <c r="D94" s="1316" t="s">
        <v>819</v>
      </c>
      <c r="E94" s="1316"/>
      <c r="F94" s="1316"/>
      <c r="G94" s="1316"/>
      <c r="H94" s="1316"/>
      <c r="I94" s="1316"/>
    </row>
    <row r="95" spans="2:9" ht="19.899999999999999" customHeight="1" x14ac:dyDescent="0.25">
      <c r="B95" s="1293"/>
      <c r="C95" s="1293"/>
      <c r="D95" s="1317" t="s">
        <v>820</v>
      </c>
      <c r="E95" s="1317"/>
      <c r="F95" s="1317"/>
      <c r="G95" s="1317"/>
      <c r="H95" s="1317"/>
      <c r="I95" s="1317"/>
    </row>
    <row r="96" spans="2:9" ht="37.15" customHeight="1" x14ac:dyDescent="0.25">
      <c r="B96" s="1293"/>
      <c r="C96" s="1293"/>
      <c r="D96" s="1317" t="s">
        <v>821</v>
      </c>
      <c r="E96" s="1317"/>
      <c r="F96" s="1317"/>
      <c r="G96" s="1317"/>
      <c r="H96" s="1317"/>
      <c r="I96" s="1317"/>
    </row>
    <row r="97" spans="2:11" ht="34.15" customHeight="1" x14ac:dyDescent="0.25">
      <c r="B97" s="1293"/>
      <c r="C97" s="1293"/>
      <c r="D97" s="1317" t="s">
        <v>822</v>
      </c>
      <c r="E97" s="1317"/>
      <c r="F97" s="1317"/>
      <c r="G97" s="1317"/>
      <c r="H97" s="1317"/>
      <c r="I97" s="1317"/>
    </row>
    <row r="98" spans="2:11" ht="35.450000000000003" customHeight="1" x14ac:dyDescent="0.25">
      <c r="B98" s="1293"/>
      <c r="C98" s="1293"/>
      <c r="D98" s="1317" t="s">
        <v>823</v>
      </c>
      <c r="E98" s="1317"/>
      <c r="F98" s="1317"/>
      <c r="G98" s="1317"/>
      <c r="H98" s="1317"/>
      <c r="I98" s="1317"/>
    </row>
    <row r="99" spans="2:11" ht="37.9" customHeight="1" x14ac:dyDescent="0.25">
      <c r="B99" s="1293"/>
      <c r="C99" s="1293"/>
      <c r="D99" s="1317" t="s">
        <v>824</v>
      </c>
      <c r="E99" s="1317"/>
      <c r="F99" s="1317"/>
      <c r="G99" s="1317"/>
      <c r="H99" s="1317"/>
      <c r="I99" s="1317"/>
    </row>
    <row r="100" spans="2:11" ht="43.15" customHeight="1" x14ac:dyDescent="0.25">
      <c r="B100" s="1293"/>
      <c r="C100" s="1293"/>
      <c r="D100" s="1317" t="s">
        <v>825</v>
      </c>
      <c r="E100" s="1317"/>
      <c r="F100" s="1317"/>
      <c r="G100" s="1317"/>
      <c r="H100" s="1317"/>
      <c r="I100" s="1317"/>
    </row>
    <row r="101" spans="2:11" ht="36.6" customHeight="1" x14ac:dyDescent="0.25">
      <c r="B101" s="1298" t="s">
        <v>587</v>
      </c>
      <c r="C101" s="1299"/>
      <c r="D101" s="1276" t="s">
        <v>664</v>
      </c>
      <c r="E101" s="1276"/>
      <c r="F101" s="1276"/>
      <c r="G101" s="1276"/>
      <c r="H101" s="1276"/>
      <c r="I101" s="1276"/>
    </row>
    <row r="102" spans="2:11" ht="33" customHeight="1" x14ac:dyDescent="0.25">
      <c r="B102" s="1300"/>
      <c r="C102" s="1301"/>
      <c r="D102" s="1276" t="s">
        <v>977</v>
      </c>
      <c r="E102" s="1276"/>
      <c r="F102" s="1276"/>
      <c r="G102" s="1276"/>
      <c r="H102" s="1276"/>
      <c r="I102" s="1276"/>
    </row>
    <row r="103" spans="2:11" ht="22.15" customHeight="1" x14ac:dyDescent="0.3">
      <c r="B103" s="1300"/>
      <c r="C103" s="1301"/>
      <c r="D103" s="1313" t="s">
        <v>1196</v>
      </c>
      <c r="E103" s="1313"/>
      <c r="F103" s="1313"/>
      <c r="G103" s="1313"/>
      <c r="H103" s="1313"/>
      <c r="I103" s="1313"/>
      <c r="K103" s="139"/>
    </row>
    <row r="104" spans="2:11" ht="19.899999999999999" customHeight="1" x14ac:dyDescent="0.3">
      <c r="B104" s="1300"/>
      <c r="C104" s="1301"/>
      <c r="D104" s="1297" t="s">
        <v>665</v>
      </c>
      <c r="E104" s="1297"/>
      <c r="F104" s="1297"/>
      <c r="G104" s="1297"/>
      <c r="H104" s="1297"/>
      <c r="I104" s="1297"/>
      <c r="K104" s="139"/>
    </row>
    <row r="105" spans="2:11" ht="21.6" customHeight="1" x14ac:dyDescent="0.25">
      <c r="B105" s="1300"/>
      <c r="C105" s="1301"/>
      <c r="D105" s="1297" t="s">
        <v>796</v>
      </c>
      <c r="E105" s="1297"/>
      <c r="F105" s="1297"/>
      <c r="G105" s="1297"/>
      <c r="H105" s="1297"/>
      <c r="I105" s="1297"/>
    </row>
    <row r="106" spans="2:11" ht="43.15" customHeight="1" x14ac:dyDescent="0.25">
      <c r="B106" s="1300"/>
      <c r="C106" s="1301"/>
      <c r="D106" s="1297" t="s">
        <v>666</v>
      </c>
      <c r="E106" s="1297"/>
      <c r="F106" s="1297"/>
      <c r="G106" s="1297"/>
      <c r="H106" s="1297"/>
      <c r="I106" s="1297"/>
    </row>
    <row r="107" spans="2:11" ht="43.15" customHeight="1" x14ac:dyDescent="0.25">
      <c r="B107" s="1300"/>
      <c r="C107" s="1301"/>
      <c r="D107" s="1297" t="s">
        <v>667</v>
      </c>
      <c r="E107" s="1297"/>
      <c r="F107" s="1297"/>
      <c r="G107" s="1297"/>
      <c r="H107" s="1297"/>
      <c r="I107" s="1297"/>
    </row>
    <row r="108" spans="2:11" ht="24.6" customHeight="1" x14ac:dyDescent="0.25">
      <c r="B108" s="1300"/>
      <c r="C108" s="1301"/>
      <c r="D108" s="1297" t="s">
        <v>826</v>
      </c>
      <c r="E108" s="1297"/>
      <c r="F108" s="1297"/>
      <c r="G108" s="1297"/>
      <c r="H108" s="1297"/>
      <c r="I108" s="1297"/>
    </row>
    <row r="109" spans="2:11" ht="19.899999999999999" customHeight="1" x14ac:dyDescent="0.25">
      <c r="B109" s="1302"/>
      <c r="C109" s="1303"/>
      <c r="D109" s="1297" t="s">
        <v>827</v>
      </c>
      <c r="E109" s="1297"/>
      <c r="F109" s="1297"/>
      <c r="G109" s="1297"/>
      <c r="H109" s="1297"/>
      <c r="I109" s="817" t="s">
        <v>829</v>
      </c>
    </row>
    <row r="110" spans="2:11" ht="19.899999999999999" customHeight="1" x14ac:dyDescent="0.25">
      <c r="B110" s="589"/>
      <c r="C110" s="589"/>
      <c r="D110" s="590"/>
      <c r="E110" s="590"/>
      <c r="F110" s="590"/>
      <c r="G110" s="590"/>
      <c r="H110" s="590"/>
      <c r="I110" s="590"/>
    </row>
    <row r="111" spans="2:11" ht="19.899999999999999" customHeight="1" x14ac:dyDescent="0.25">
      <c r="B111" s="1312" t="s">
        <v>605</v>
      </c>
      <c r="C111" s="1312"/>
      <c r="D111" s="1312"/>
      <c r="E111" s="1312"/>
      <c r="F111" s="1312"/>
      <c r="G111" s="1312"/>
      <c r="H111" s="1312"/>
      <c r="I111" s="1312"/>
    </row>
    <row r="112" spans="2:11" ht="35.450000000000003" customHeight="1" x14ac:dyDescent="0.25">
      <c r="B112" s="1298" t="s">
        <v>604</v>
      </c>
      <c r="C112" s="1299"/>
      <c r="D112" s="1297" t="s">
        <v>668</v>
      </c>
      <c r="E112" s="1297"/>
      <c r="F112" s="1297"/>
      <c r="G112" s="1297"/>
      <c r="H112" s="1297"/>
      <c r="I112" s="1297"/>
    </row>
    <row r="113" spans="2:10" ht="35.450000000000003" customHeight="1" x14ac:dyDescent="0.25">
      <c r="B113" s="1300"/>
      <c r="C113" s="1301"/>
      <c r="D113" s="1297" t="s">
        <v>1198</v>
      </c>
      <c r="E113" s="1297"/>
      <c r="F113" s="1297"/>
      <c r="G113" s="1297"/>
      <c r="H113" s="1297"/>
      <c r="I113" s="1297"/>
    </row>
    <row r="114" spans="2:10" ht="21" customHeight="1" x14ac:dyDescent="0.25">
      <c r="B114" s="1300"/>
      <c r="C114" s="1301"/>
      <c r="D114" s="1297" t="s">
        <v>1199</v>
      </c>
      <c r="E114" s="1297"/>
      <c r="F114" s="1297"/>
      <c r="G114" s="1297"/>
      <c r="H114" s="1297"/>
      <c r="I114" s="1297"/>
    </row>
    <row r="115" spans="2:10" ht="19.899999999999999" customHeight="1" x14ac:dyDescent="0.25">
      <c r="B115" s="1300"/>
      <c r="C115" s="1301"/>
      <c r="D115" s="1313" t="s">
        <v>675</v>
      </c>
      <c r="E115" s="1313"/>
      <c r="F115" s="1313"/>
      <c r="G115" s="1313"/>
      <c r="H115" s="1313"/>
      <c r="I115" s="1313"/>
    </row>
    <row r="116" spans="2:10" ht="19.899999999999999" customHeight="1" x14ac:dyDescent="0.25">
      <c r="B116" s="1300"/>
      <c r="C116" s="1301"/>
      <c r="D116" s="1297" t="s">
        <v>1200</v>
      </c>
      <c r="E116" s="1297"/>
      <c r="F116" s="1297"/>
      <c r="G116" s="1297"/>
      <c r="H116" s="1297"/>
      <c r="I116" s="1297"/>
    </row>
    <row r="117" spans="2:10" ht="19.899999999999999" customHeight="1" x14ac:dyDescent="0.25">
      <c r="B117" s="1300"/>
      <c r="C117" s="1301"/>
      <c r="D117" s="1297" t="s">
        <v>1201</v>
      </c>
      <c r="E117" s="1297"/>
      <c r="F117" s="1297"/>
      <c r="G117" s="1297"/>
      <c r="H117" s="1297"/>
      <c r="I117" s="1297"/>
    </row>
    <row r="118" spans="2:10" ht="19.899999999999999" customHeight="1" x14ac:dyDescent="0.25">
      <c r="B118" s="1300"/>
      <c r="C118" s="1301"/>
      <c r="D118" s="1297" t="s">
        <v>1202</v>
      </c>
      <c r="E118" s="1297"/>
      <c r="F118" s="1297"/>
      <c r="G118" s="1297"/>
      <c r="H118" s="1297"/>
      <c r="I118" s="1297"/>
    </row>
    <row r="119" spans="2:10" ht="19.899999999999999" customHeight="1" x14ac:dyDescent="0.25">
      <c r="B119" s="1300"/>
      <c r="C119" s="1301"/>
      <c r="D119" s="1313" t="s">
        <v>674</v>
      </c>
      <c r="E119" s="1313"/>
      <c r="F119" s="1313"/>
      <c r="G119" s="1313"/>
      <c r="H119" s="1313"/>
      <c r="I119" s="1313"/>
    </row>
    <row r="120" spans="2:10" ht="19.899999999999999" customHeight="1" x14ac:dyDescent="0.25">
      <c r="B120" s="1300"/>
      <c r="C120" s="1301"/>
      <c r="D120" s="1297" t="s">
        <v>1203</v>
      </c>
      <c r="E120" s="1297"/>
      <c r="F120" s="1297"/>
      <c r="G120" s="1297"/>
      <c r="H120" s="1297"/>
      <c r="I120" s="1297"/>
    </row>
    <row r="121" spans="2:10" ht="19.899999999999999" customHeight="1" x14ac:dyDescent="0.25">
      <c r="B121" s="1300"/>
      <c r="C121" s="1301"/>
      <c r="D121" s="1297" t="s">
        <v>1204</v>
      </c>
      <c r="E121" s="1297"/>
      <c r="F121" s="1297"/>
      <c r="G121" s="1297"/>
      <c r="H121" s="1297"/>
      <c r="I121" s="1297"/>
    </row>
    <row r="122" spans="2:10" ht="19.899999999999999" customHeight="1" x14ac:dyDescent="0.25">
      <c r="B122" s="1300"/>
      <c r="C122" s="1301"/>
      <c r="D122" s="1297" t="s">
        <v>1205</v>
      </c>
      <c r="E122" s="1297"/>
      <c r="F122" s="1297"/>
      <c r="G122" s="1297"/>
      <c r="H122" s="1297"/>
      <c r="I122" s="1297"/>
    </row>
    <row r="123" spans="2:10" ht="40.15" customHeight="1" x14ac:dyDescent="0.25">
      <c r="B123" s="1300"/>
      <c r="C123" s="1301"/>
      <c r="D123" s="1297" t="s">
        <v>1226</v>
      </c>
      <c r="E123" s="1297"/>
      <c r="F123" s="1297"/>
      <c r="G123" s="1297"/>
      <c r="H123" s="1297"/>
      <c r="I123" s="1297"/>
      <c r="J123" s="3"/>
    </row>
    <row r="124" spans="2:10" ht="45.6" customHeight="1" x14ac:dyDescent="0.25">
      <c r="B124" s="1302"/>
      <c r="C124" s="1303"/>
      <c r="D124" s="1297" t="s">
        <v>1206</v>
      </c>
      <c r="E124" s="1297"/>
      <c r="F124" s="1297"/>
      <c r="G124" s="1297"/>
      <c r="H124" s="1297"/>
      <c r="I124" s="1297"/>
    </row>
    <row r="125" spans="2:10" ht="15.75" x14ac:dyDescent="0.25">
      <c r="B125" s="560"/>
      <c r="C125" s="560"/>
      <c r="D125" s="553"/>
      <c r="E125" s="553"/>
      <c r="F125" s="553"/>
      <c r="G125" s="553"/>
      <c r="H125" s="553"/>
      <c r="I125" s="553"/>
    </row>
    <row r="126" spans="2:10" ht="18" customHeight="1" x14ac:dyDescent="0.25">
      <c r="B126" s="1314" t="s">
        <v>1207</v>
      </c>
      <c r="C126" s="1314"/>
      <c r="D126" s="1314"/>
      <c r="E126" s="1314"/>
      <c r="F126" s="1314"/>
      <c r="G126" s="1314"/>
      <c r="H126" s="1314"/>
      <c r="I126" s="1314"/>
    </row>
    <row r="127" spans="2:10" x14ac:dyDescent="0.25">
      <c r="B127" s="1314"/>
      <c r="C127" s="1314"/>
      <c r="D127" s="1314"/>
      <c r="E127" s="1314"/>
      <c r="F127" s="1314"/>
      <c r="G127" s="1314"/>
      <c r="H127" s="1314"/>
      <c r="I127" s="1314"/>
    </row>
    <row r="128" spans="2:10" ht="18.75" x14ac:dyDescent="0.3">
      <c r="B128" s="26"/>
      <c r="C128" s="26"/>
      <c r="D128" s="26"/>
      <c r="E128" s="26"/>
      <c r="F128" s="26"/>
      <c r="G128" s="26"/>
      <c r="H128" s="26"/>
      <c r="I128" s="26"/>
    </row>
    <row r="129" spans="2:9" ht="18.75" x14ac:dyDescent="0.25">
      <c r="B129" s="1312" t="s">
        <v>1208</v>
      </c>
      <c r="C129" s="1312"/>
      <c r="D129" s="1312"/>
      <c r="E129" s="1312"/>
      <c r="F129" s="1312"/>
      <c r="G129" s="1312"/>
      <c r="H129" s="1312"/>
      <c r="I129" s="1312"/>
    </row>
    <row r="130" spans="2:9" ht="27.6" customHeight="1" x14ac:dyDescent="0.25">
      <c r="B130" s="1309" t="s">
        <v>1220</v>
      </c>
      <c r="C130" s="1310"/>
      <c r="D130" s="1310"/>
      <c r="E130" s="1310"/>
      <c r="F130" s="1310"/>
      <c r="G130" s="1310"/>
      <c r="H130" s="1310"/>
      <c r="I130" s="1311"/>
    </row>
    <row r="131" spans="2:9" ht="15.75" x14ac:dyDescent="0.25">
      <c r="B131" s="1305"/>
      <c r="C131" s="1305"/>
      <c r="D131" s="1273"/>
      <c r="E131" s="1273"/>
      <c r="F131" s="1273"/>
      <c r="G131" s="1273"/>
      <c r="H131" s="1273"/>
      <c r="I131" s="1273"/>
    </row>
    <row r="132" spans="2:9" ht="15.75" x14ac:dyDescent="0.25">
      <c r="B132" s="1305"/>
      <c r="C132" s="1305"/>
      <c r="D132" s="1307"/>
      <c r="E132" s="1307"/>
      <c r="F132" s="1307"/>
      <c r="G132" s="1307"/>
      <c r="H132" s="1307"/>
      <c r="I132" s="1307"/>
    </row>
    <row r="133" spans="2:9" ht="15.75" x14ac:dyDescent="0.25">
      <c r="B133" s="1305"/>
      <c r="C133" s="1305"/>
      <c r="D133" s="1307"/>
      <c r="E133" s="1307"/>
      <c r="F133" s="1307"/>
      <c r="G133" s="1307"/>
      <c r="H133" s="1307"/>
      <c r="I133" s="1307"/>
    </row>
    <row r="134" spans="2:9" ht="15.75" x14ac:dyDescent="0.25">
      <c r="B134" s="1089"/>
      <c r="C134" s="1089"/>
      <c r="D134" s="1306"/>
      <c r="E134" s="1271"/>
      <c r="F134" s="1271"/>
      <c r="G134" s="1090"/>
      <c r="H134" s="1090"/>
      <c r="I134" s="1090"/>
    </row>
    <row r="135" spans="2:9" ht="15.75" x14ac:dyDescent="0.25">
      <c r="B135" s="1089"/>
      <c r="C135" s="1089"/>
      <c r="D135" s="1271"/>
      <c r="E135" s="1271"/>
      <c r="F135" s="1271"/>
      <c r="G135" s="1271"/>
      <c r="H135" s="1271"/>
      <c r="I135" s="1271"/>
    </row>
    <row r="136" spans="2:9" ht="15.75" x14ac:dyDescent="0.25">
      <c r="B136" s="1089"/>
      <c r="C136" s="1089"/>
      <c r="D136" s="1296"/>
      <c r="E136" s="1296"/>
      <c r="F136" s="1296"/>
      <c r="G136" s="1296"/>
      <c r="H136" s="1296"/>
      <c r="I136" s="1296"/>
    </row>
    <row r="137" spans="2:9" ht="15.75" x14ac:dyDescent="0.25">
      <c r="B137" s="1089"/>
      <c r="C137" s="1089"/>
      <c r="D137" s="1296"/>
      <c r="E137" s="1296"/>
      <c r="F137" s="1296"/>
      <c r="G137" s="1296"/>
      <c r="H137" s="1296"/>
      <c r="I137" s="1296"/>
    </row>
    <row r="138" spans="2:9" ht="15.75" x14ac:dyDescent="0.25">
      <c r="B138" s="1089"/>
      <c r="C138" s="1089"/>
      <c r="D138" s="1296"/>
      <c r="E138" s="1296"/>
      <c r="F138" s="1296"/>
      <c r="G138" s="1296"/>
      <c r="H138" s="1296"/>
      <c r="I138" s="1296"/>
    </row>
    <row r="139" spans="2:9" ht="15.75" x14ac:dyDescent="0.25">
      <c r="B139" s="1089"/>
      <c r="C139" s="1089"/>
      <c r="D139" s="1296"/>
      <c r="E139" s="1296"/>
      <c r="F139" s="1296"/>
      <c r="G139" s="1296"/>
      <c r="H139" s="1296"/>
      <c r="I139" s="1296"/>
    </row>
    <row r="140" spans="2:9" ht="15.75" x14ac:dyDescent="0.25">
      <c r="B140" s="1089"/>
      <c r="C140" s="1089"/>
      <c r="D140" s="1271"/>
      <c r="E140" s="1271"/>
      <c r="F140" s="1271"/>
      <c r="G140" s="1271"/>
      <c r="H140" s="1271"/>
      <c r="I140" s="1271"/>
    </row>
    <row r="141" spans="2:9" ht="15.75" x14ac:dyDescent="0.25">
      <c r="B141" s="1089"/>
      <c r="C141" s="1089"/>
      <c r="D141" s="1271"/>
      <c r="E141" s="1271"/>
      <c r="F141" s="1271"/>
      <c r="G141" s="1271"/>
      <c r="H141" s="1271"/>
      <c r="I141" s="1271"/>
    </row>
    <row r="142" spans="2:9" ht="15.75" x14ac:dyDescent="0.25">
      <c r="B142" s="1089"/>
      <c r="C142" s="1089"/>
      <c r="D142" s="1271"/>
      <c r="E142" s="1271"/>
      <c r="F142" s="1271"/>
      <c r="G142" s="1271"/>
      <c r="H142" s="1271"/>
      <c r="I142" s="1271"/>
    </row>
    <row r="143" spans="2:9" ht="15.75" x14ac:dyDescent="0.25">
      <c r="B143" s="1089"/>
      <c r="C143" s="1089"/>
      <c r="D143" s="1271"/>
      <c r="E143" s="1271"/>
      <c r="F143" s="1271"/>
      <c r="G143" s="1271"/>
      <c r="H143" s="1271"/>
      <c r="I143" s="1271"/>
    </row>
    <row r="144" spans="2:9" ht="15.75" x14ac:dyDescent="0.25">
      <c r="B144" s="1089"/>
      <c r="C144" s="1089"/>
      <c r="D144" s="1271"/>
      <c r="E144" s="1271"/>
      <c r="F144" s="1271"/>
      <c r="G144" s="1271"/>
      <c r="H144" s="1271"/>
      <c r="I144" s="1271"/>
    </row>
    <row r="145" spans="2:9" ht="15.75" x14ac:dyDescent="0.25">
      <c r="B145" s="1089"/>
      <c r="C145" s="1089"/>
      <c r="D145" s="1271"/>
      <c r="E145" s="1271"/>
      <c r="F145" s="1271"/>
      <c r="G145" s="1271"/>
      <c r="H145" s="1271"/>
      <c r="I145" s="1271"/>
    </row>
    <row r="146" spans="2:9" ht="15.75" x14ac:dyDescent="0.25">
      <c r="B146" s="1272"/>
      <c r="C146" s="1272"/>
      <c r="D146" s="1273"/>
      <c r="E146" s="1273"/>
      <c r="F146" s="1273"/>
      <c r="G146" s="1273"/>
      <c r="H146" s="1273"/>
      <c r="I146" s="1273"/>
    </row>
    <row r="147" spans="2:9" ht="15.75" x14ac:dyDescent="0.25">
      <c r="B147" s="1272"/>
      <c r="C147" s="1272"/>
      <c r="D147" s="1273"/>
      <c r="E147" s="1273"/>
      <c r="F147" s="1273"/>
      <c r="G147" s="1273"/>
      <c r="H147" s="1273"/>
      <c r="I147" s="1273"/>
    </row>
    <row r="148" spans="2:9" ht="15.75" x14ac:dyDescent="0.25">
      <c r="B148" s="1272"/>
      <c r="C148" s="1272"/>
      <c r="D148" s="1274"/>
      <c r="E148" s="1274"/>
      <c r="F148" s="1274"/>
      <c r="G148" s="1274"/>
      <c r="H148" s="1274"/>
      <c r="I148" s="1274"/>
    </row>
    <row r="149" spans="2:9" ht="15.75" x14ac:dyDescent="0.25">
      <c r="B149" s="1272"/>
      <c r="C149" s="1272"/>
      <c r="D149" s="1275"/>
      <c r="E149" s="1275"/>
      <c r="F149" s="1275"/>
      <c r="G149" s="1275"/>
      <c r="H149" s="1275"/>
      <c r="I149" s="1275"/>
    </row>
    <row r="150" spans="2:9" ht="15.75" x14ac:dyDescent="0.25">
      <c r="B150" s="1272"/>
      <c r="C150" s="1272"/>
      <c r="D150" s="1275"/>
      <c r="E150" s="1275"/>
      <c r="F150" s="1275"/>
      <c r="G150" s="1275"/>
      <c r="H150" s="1275"/>
      <c r="I150" s="1275"/>
    </row>
    <row r="151" spans="2:9" ht="15.75" x14ac:dyDescent="0.25">
      <c r="B151" s="1272"/>
      <c r="C151" s="1272"/>
      <c r="D151" s="1275"/>
      <c r="E151" s="1275"/>
      <c r="F151" s="1275"/>
      <c r="G151" s="1275"/>
      <c r="H151" s="1275"/>
      <c r="I151" s="1275"/>
    </row>
    <row r="152" spans="2:9" ht="15.75" x14ac:dyDescent="0.25">
      <c r="B152" s="1272"/>
      <c r="C152" s="1272"/>
      <c r="D152" s="1275"/>
      <c r="E152" s="1275"/>
      <c r="F152" s="1275"/>
      <c r="G152" s="1275"/>
      <c r="H152" s="1275"/>
      <c r="I152" s="1275"/>
    </row>
    <row r="154" spans="2:9" ht="15.75" x14ac:dyDescent="0.25">
      <c r="B154" s="1304"/>
      <c r="C154" s="1304"/>
      <c r="D154" s="1304"/>
      <c r="E154" s="1304"/>
      <c r="F154" s="1304"/>
      <c r="G154" s="1304"/>
      <c r="H154" s="1304"/>
      <c r="I154" s="1304"/>
    </row>
    <row r="155" spans="2:9" ht="42" customHeight="1" x14ac:dyDescent="0.25">
      <c r="B155" s="1305"/>
      <c r="C155" s="1305"/>
      <c r="D155" s="1275"/>
      <c r="E155" s="1275"/>
      <c r="F155" s="1275"/>
      <c r="G155" s="1275"/>
      <c r="H155" s="1275"/>
      <c r="I155" s="1275"/>
    </row>
    <row r="156" spans="2:9" ht="43.9" customHeight="1" x14ac:dyDescent="0.25">
      <c r="B156" s="1305"/>
      <c r="C156" s="1305"/>
      <c r="D156" s="1273"/>
      <c r="E156" s="1273"/>
      <c r="F156" s="1273"/>
      <c r="G156" s="1273"/>
      <c r="H156" s="1273"/>
      <c r="I156" s="1273"/>
    </row>
    <row r="157" spans="2:9" ht="53.45" customHeight="1" x14ac:dyDescent="0.25">
      <c r="B157" s="1305"/>
      <c r="C157" s="1305"/>
      <c r="D157" s="1308"/>
      <c r="E157" s="1308"/>
      <c r="F157" s="1308"/>
      <c r="G157" s="1308"/>
      <c r="H157" s="1308"/>
      <c r="I157" s="1308"/>
    </row>
    <row r="158" spans="2:9" ht="15.75" x14ac:dyDescent="0.25">
      <c r="B158" s="560"/>
      <c r="C158" s="560"/>
      <c r="D158" s="1307"/>
      <c r="E158" s="1307"/>
      <c r="F158" s="1307"/>
      <c r="G158" s="1307"/>
      <c r="H158" s="1307"/>
      <c r="I158" s="1307"/>
    </row>
    <row r="159" spans="2:9" ht="15.75" x14ac:dyDescent="0.25">
      <c r="B159" s="1089"/>
      <c r="C159" s="1089"/>
      <c r="D159" s="1306"/>
      <c r="E159" s="1271"/>
      <c r="F159" s="1271"/>
      <c r="G159" s="1090"/>
      <c r="H159" s="1090"/>
      <c r="I159" s="1090"/>
    </row>
    <row r="160" spans="2:9" ht="15.75" x14ac:dyDescent="0.25">
      <c r="B160" s="1089"/>
      <c r="C160" s="1089"/>
      <c r="D160" s="1271"/>
      <c r="E160" s="1271"/>
      <c r="F160" s="1271"/>
      <c r="G160" s="1271"/>
      <c r="H160" s="1271"/>
      <c r="I160" s="1271"/>
    </row>
    <row r="161" spans="2:9" ht="15.75" x14ac:dyDescent="0.25">
      <c r="B161" s="1089"/>
      <c r="C161" s="1089"/>
      <c r="D161" s="1296"/>
      <c r="E161" s="1296"/>
      <c r="F161" s="1296"/>
      <c r="G161" s="1296"/>
      <c r="H161" s="1296"/>
      <c r="I161" s="1296"/>
    </row>
    <row r="162" spans="2:9" ht="15.75" x14ac:dyDescent="0.25">
      <c r="B162" s="1089"/>
      <c r="C162" s="1089"/>
      <c r="D162" s="1296"/>
      <c r="E162" s="1296"/>
      <c r="F162" s="1296"/>
      <c r="G162" s="1296"/>
      <c r="H162" s="1296"/>
      <c r="I162" s="1296"/>
    </row>
    <row r="163" spans="2:9" ht="15.75" x14ac:dyDescent="0.25">
      <c r="B163" s="1089"/>
      <c r="C163" s="1089"/>
      <c r="D163" s="1296"/>
      <c r="E163" s="1296"/>
      <c r="F163" s="1296"/>
      <c r="G163" s="1296"/>
      <c r="H163" s="1296"/>
      <c r="I163" s="1296"/>
    </row>
    <row r="164" spans="2:9" ht="15.75" x14ac:dyDescent="0.25">
      <c r="B164" s="1089"/>
      <c r="C164" s="1089"/>
      <c r="D164" s="1296"/>
      <c r="E164" s="1296"/>
      <c r="F164" s="1296"/>
      <c r="G164" s="1296"/>
      <c r="H164" s="1296"/>
      <c r="I164" s="1296"/>
    </row>
    <row r="165" spans="2:9" ht="15.75" x14ac:dyDescent="0.25">
      <c r="B165" s="1089"/>
      <c r="C165" s="1089"/>
      <c r="D165" s="1271"/>
      <c r="E165" s="1271"/>
      <c r="F165" s="1271"/>
      <c r="G165" s="1271"/>
      <c r="H165" s="1271"/>
      <c r="I165" s="1271"/>
    </row>
    <row r="166" spans="2:9" ht="15.75" x14ac:dyDescent="0.25">
      <c r="B166" s="1089"/>
      <c r="C166" s="1089"/>
      <c r="D166" s="1271"/>
      <c r="E166" s="1271"/>
      <c r="F166" s="1271"/>
      <c r="G166" s="1271"/>
      <c r="H166" s="1271"/>
      <c r="I166" s="1271"/>
    </row>
    <row r="167" spans="2:9" ht="15.75" x14ac:dyDescent="0.25">
      <c r="B167" s="1089"/>
      <c r="C167" s="1089"/>
      <c r="D167" s="1271"/>
      <c r="E167" s="1271"/>
      <c r="F167" s="1271"/>
      <c r="G167" s="1271"/>
      <c r="H167" s="1271"/>
      <c r="I167" s="1271"/>
    </row>
    <row r="168" spans="2:9" ht="15.75" x14ac:dyDescent="0.25">
      <c r="B168" s="1089"/>
      <c r="C168" s="1089"/>
      <c r="D168" s="1271"/>
      <c r="E168" s="1271"/>
      <c r="F168" s="1271"/>
      <c r="G168" s="1271"/>
      <c r="H168" s="1271"/>
      <c r="I168" s="1271"/>
    </row>
    <row r="169" spans="2:9" ht="15.75" x14ac:dyDescent="0.25">
      <c r="B169" s="1089"/>
      <c r="C169" s="1089"/>
      <c r="D169" s="1271"/>
      <c r="E169" s="1271"/>
      <c r="F169" s="1271"/>
      <c r="G169" s="1271"/>
      <c r="H169" s="1271"/>
      <c r="I169" s="1271"/>
    </row>
    <row r="170" spans="2:9" ht="15.75" x14ac:dyDescent="0.25">
      <c r="B170" s="1089"/>
      <c r="C170" s="1089"/>
      <c r="D170" s="1271"/>
      <c r="E170" s="1271"/>
      <c r="F170" s="1271"/>
      <c r="G170" s="1271"/>
      <c r="H170" s="1271"/>
      <c r="I170" s="1271"/>
    </row>
    <row r="171" spans="2:9" ht="15.75" x14ac:dyDescent="0.25">
      <c r="B171" s="1272"/>
      <c r="C171" s="1272"/>
      <c r="D171" s="1273"/>
      <c r="E171" s="1273"/>
      <c r="F171" s="1273"/>
      <c r="G171" s="1273"/>
      <c r="H171" s="1273"/>
      <c r="I171" s="1273"/>
    </row>
    <row r="172" spans="2:9" ht="15.75" x14ac:dyDescent="0.25">
      <c r="B172" s="1272"/>
      <c r="C172" s="1272"/>
      <c r="D172" s="1273"/>
      <c r="E172" s="1273"/>
      <c r="F172" s="1273"/>
      <c r="G172" s="1273"/>
      <c r="H172" s="1273"/>
      <c r="I172" s="1273"/>
    </row>
    <row r="173" spans="2:9" ht="15.75" x14ac:dyDescent="0.25">
      <c r="B173" s="1272"/>
      <c r="C173" s="1272"/>
      <c r="D173" s="1274"/>
      <c r="E173" s="1274"/>
      <c r="F173" s="1274"/>
      <c r="G173" s="1274"/>
      <c r="H173" s="1274"/>
      <c r="I173" s="1274"/>
    </row>
    <row r="174" spans="2:9" ht="15.75" x14ac:dyDescent="0.25">
      <c r="B174" s="1272"/>
      <c r="C174" s="1272"/>
      <c r="D174" s="1275"/>
      <c r="E174" s="1275"/>
      <c r="F174" s="1275"/>
      <c r="G174" s="1275"/>
      <c r="H174" s="1275"/>
      <c r="I174" s="1275"/>
    </row>
    <row r="175" spans="2:9" ht="15.75" x14ac:dyDescent="0.25">
      <c r="B175" s="1272"/>
      <c r="C175" s="1272"/>
      <c r="D175" s="1275"/>
      <c r="E175" s="1275"/>
      <c r="F175" s="1275"/>
      <c r="G175" s="1275"/>
      <c r="H175" s="1275"/>
      <c r="I175" s="1275"/>
    </row>
    <row r="176" spans="2:9" ht="15.75" x14ac:dyDescent="0.25">
      <c r="B176" s="1272"/>
      <c r="C176" s="1272"/>
      <c r="D176" s="1275"/>
      <c r="E176" s="1275"/>
      <c r="F176" s="1275"/>
      <c r="G176" s="1275"/>
      <c r="H176" s="1275"/>
      <c r="I176" s="1275"/>
    </row>
    <row r="177" spans="2:9" ht="15.75" x14ac:dyDescent="0.25">
      <c r="B177" s="1272"/>
      <c r="C177" s="1272"/>
      <c r="D177" s="1275"/>
      <c r="E177" s="1275"/>
      <c r="F177" s="1275"/>
      <c r="G177" s="1275"/>
      <c r="H177" s="1275"/>
      <c r="I177" s="1275"/>
    </row>
    <row r="179" spans="2:9" ht="15.75" x14ac:dyDescent="0.25">
      <c r="B179" s="1304"/>
      <c r="C179" s="1304"/>
      <c r="D179" s="1304"/>
      <c r="E179" s="1304"/>
      <c r="F179" s="1304"/>
      <c r="G179" s="1304"/>
      <c r="H179" s="1304"/>
      <c r="I179" s="1304"/>
    </row>
    <row r="180" spans="2:9" ht="15.75" x14ac:dyDescent="0.25">
      <c r="B180" s="1305"/>
      <c r="C180" s="1305"/>
      <c r="D180" s="1273"/>
      <c r="E180" s="1273"/>
      <c r="F180" s="1273"/>
      <c r="G180" s="1273"/>
      <c r="H180" s="1273"/>
      <c r="I180" s="1273"/>
    </row>
    <row r="181" spans="2:9" ht="15.75" x14ac:dyDescent="0.25">
      <c r="B181" s="1305"/>
      <c r="C181" s="1305"/>
      <c r="D181" s="1273"/>
      <c r="E181" s="1273"/>
      <c r="F181" s="1273"/>
      <c r="G181" s="1273"/>
      <c r="H181" s="1273"/>
      <c r="I181" s="1273"/>
    </row>
    <row r="182" spans="2:9" ht="15.75" x14ac:dyDescent="0.25">
      <c r="B182" s="1305"/>
      <c r="C182" s="1305"/>
      <c r="D182" s="1307"/>
      <c r="E182" s="1307"/>
      <c r="F182" s="1307"/>
      <c r="G182" s="1307"/>
      <c r="H182" s="1307"/>
      <c r="I182" s="1307"/>
    </row>
    <row r="183" spans="2:9" ht="15.75" x14ac:dyDescent="0.25">
      <c r="B183" s="1305"/>
      <c r="C183" s="1305"/>
      <c r="D183" s="1307"/>
      <c r="E183" s="1307"/>
      <c r="F183" s="1307"/>
      <c r="G183" s="1307"/>
      <c r="H183" s="1307"/>
      <c r="I183" s="1307"/>
    </row>
    <row r="184" spans="2:9" ht="15.75" x14ac:dyDescent="0.25">
      <c r="B184" s="1089"/>
      <c r="C184" s="1089"/>
      <c r="D184" s="1306"/>
      <c r="E184" s="1271"/>
      <c r="F184" s="1271"/>
      <c r="G184" s="1090"/>
      <c r="H184" s="1090"/>
      <c r="I184" s="1090"/>
    </row>
    <row r="185" spans="2:9" ht="15.75" x14ac:dyDescent="0.25">
      <c r="B185" s="1089"/>
      <c r="C185" s="1089"/>
      <c r="D185" s="1271"/>
      <c r="E185" s="1271"/>
      <c r="F185" s="1271"/>
      <c r="G185" s="1271"/>
      <c r="H185" s="1271"/>
      <c r="I185" s="1271"/>
    </row>
    <row r="186" spans="2:9" ht="15.75" x14ac:dyDescent="0.25">
      <c r="B186" s="1089"/>
      <c r="C186" s="1089"/>
      <c r="D186" s="1296"/>
      <c r="E186" s="1296"/>
      <c r="F186" s="1296"/>
      <c r="G186" s="1296"/>
      <c r="H186" s="1296"/>
      <c r="I186" s="1296"/>
    </row>
    <row r="187" spans="2:9" ht="15.75" x14ac:dyDescent="0.25">
      <c r="B187" s="1089"/>
      <c r="C187" s="1089"/>
      <c r="D187" s="1296"/>
      <c r="E187" s="1296"/>
      <c r="F187" s="1296"/>
      <c r="G187" s="1296"/>
      <c r="H187" s="1296"/>
      <c r="I187" s="1296"/>
    </row>
    <row r="188" spans="2:9" ht="15.75" x14ac:dyDescent="0.25">
      <c r="B188" s="1089"/>
      <c r="C188" s="1089"/>
      <c r="D188" s="1296"/>
      <c r="E188" s="1296"/>
      <c r="F188" s="1296"/>
      <c r="G188" s="1296"/>
      <c r="H188" s="1296"/>
      <c r="I188" s="1296"/>
    </row>
    <row r="189" spans="2:9" ht="15.75" x14ac:dyDescent="0.25">
      <c r="B189" s="1089"/>
      <c r="C189" s="1089"/>
      <c r="D189" s="1296"/>
      <c r="E189" s="1296"/>
      <c r="F189" s="1296"/>
      <c r="G189" s="1296"/>
      <c r="H189" s="1296"/>
      <c r="I189" s="1296"/>
    </row>
    <row r="190" spans="2:9" ht="15.75" x14ac:dyDescent="0.25">
      <c r="B190" s="1089"/>
      <c r="C190" s="1089"/>
      <c r="D190" s="1271"/>
      <c r="E190" s="1271"/>
      <c r="F190" s="1271"/>
      <c r="G190" s="1271"/>
      <c r="H190" s="1271"/>
      <c r="I190" s="1271"/>
    </row>
    <row r="191" spans="2:9" ht="15.75" x14ac:dyDescent="0.25">
      <c r="B191" s="1089"/>
      <c r="C191" s="1089"/>
      <c r="D191" s="1271"/>
      <c r="E191" s="1271"/>
      <c r="F191" s="1271"/>
      <c r="G191" s="1271"/>
      <c r="H191" s="1271"/>
      <c r="I191" s="1271"/>
    </row>
    <row r="192" spans="2:9" ht="15.75" x14ac:dyDescent="0.25">
      <c r="B192" s="1089"/>
      <c r="C192" s="1089"/>
      <c r="D192" s="1271"/>
      <c r="E192" s="1271"/>
      <c r="F192" s="1271"/>
      <c r="G192" s="1271"/>
      <c r="H192" s="1271"/>
      <c r="I192" s="1271"/>
    </row>
    <row r="193" spans="2:9" ht="15.75" x14ac:dyDescent="0.25">
      <c r="B193" s="1089"/>
      <c r="C193" s="1089"/>
      <c r="D193" s="1271"/>
      <c r="E193" s="1271"/>
      <c r="F193" s="1271"/>
      <c r="G193" s="1271"/>
      <c r="H193" s="1271"/>
      <c r="I193" s="1271"/>
    </row>
    <row r="194" spans="2:9" ht="15.75" x14ac:dyDescent="0.25">
      <c r="B194" s="1089"/>
      <c r="C194" s="1089"/>
      <c r="D194" s="1271"/>
      <c r="E194" s="1271"/>
      <c r="F194" s="1271"/>
      <c r="G194" s="1271"/>
      <c r="H194" s="1271"/>
      <c r="I194" s="1271"/>
    </row>
    <row r="195" spans="2:9" ht="15.75" x14ac:dyDescent="0.25">
      <c r="B195" s="1089"/>
      <c r="C195" s="1089"/>
      <c r="D195" s="1271"/>
      <c r="E195" s="1271"/>
      <c r="F195" s="1271"/>
      <c r="G195" s="1271"/>
      <c r="H195" s="1271"/>
      <c r="I195" s="1271"/>
    </row>
    <row r="196" spans="2:9" ht="15.75" x14ac:dyDescent="0.25">
      <c r="B196" s="1272"/>
      <c r="C196" s="1272"/>
      <c r="D196" s="1273"/>
      <c r="E196" s="1273"/>
      <c r="F196" s="1273"/>
      <c r="G196" s="1273"/>
      <c r="H196" s="1273"/>
      <c r="I196" s="1273"/>
    </row>
    <row r="197" spans="2:9" ht="15.75" x14ac:dyDescent="0.25">
      <c r="B197" s="1272"/>
      <c r="C197" s="1272"/>
      <c r="D197" s="1273"/>
      <c r="E197" s="1273"/>
      <c r="F197" s="1273"/>
      <c r="G197" s="1273"/>
      <c r="H197" s="1273"/>
      <c r="I197" s="1273"/>
    </row>
    <row r="198" spans="2:9" ht="15.75" x14ac:dyDescent="0.25">
      <c r="B198" s="1272"/>
      <c r="C198" s="1272"/>
      <c r="D198" s="1274"/>
      <c r="E198" s="1274"/>
      <c r="F198" s="1274"/>
      <c r="G198" s="1274"/>
      <c r="H198" s="1274"/>
      <c r="I198" s="1274"/>
    </row>
    <row r="199" spans="2:9" ht="15.75" x14ac:dyDescent="0.25">
      <c r="B199" s="1272"/>
      <c r="C199" s="1272"/>
      <c r="D199" s="1275"/>
      <c r="E199" s="1275"/>
      <c r="F199" s="1275"/>
      <c r="G199" s="1275"/>
      <c r="H199" s="1275"/>
      <c r="I199" s="1275"/>
    </row>
    <row r="200" spans="2:9" ht="15.75" x14ac:dyDescent="0.25">
      <c r="B200" s="1272"/>
      <c r="C200" s="1272"/>
      <c r="D200" s="1275"/>
      <c r="E200" s="1275"/>
      <c r="F200" s="1275"/>
      <c r="G200" s="1275"/>
      <c r="H200" s="1275"/>
      <c r="I200" s="1275"/>
    </row>
    <row r="201" spans="2:9" ht="15.75" x14ac:dyDescent="0.25">
      <c r="B201" s="1272"/>
      <c r="C201" s="1272"/>
      <c r="D201" s="1275"/>
      <c r="E201" s="1275"/>
      <c r="F201" s="1275"/>
      <c r="G201" s="1275"/>
      <c r="H201" s="1275"/>
      <c r="I201" s="1275"/>
    </row>
    <row r="202" spans="2:9" ht="15.75" x14ac:dyDescent="0.25">
      <c r="B202" s="1272"/>
      <c r="C202" s="1272"/>
      <c r="D202" s="1275"/>
      <c r="E202" s="1275"/>
      <c r="F202" s="1275"/>
      <c r="G202" s="1275"/>
      <c r="H202" s="1275"/>
      <c r="I202" s="1275"/>
    </row>
    <row r="204" spans="2:9" ht="15.75" x14ac:dyDescent="0.25">
      <c r="B204" s="1304"/>
      <c r="C204" s="1304"/>
      <c r="D204" s="1304"/>
      <c r="E204" s="1304"/>
      <c r="F204" s="1304"/>
      <c r="G204" s="1304"/>
      <c r="H204" s="1304"/>
      <c r="I204" s="1304"/>
    </row>
    <row r="205" spans="2:9" ht="15.75" x14ac:dyDescent="0.25">
      <c r="B205" s="1305"/>
      <c r="C205" s="1305"/>
      <c r="D205" s="1273"/>
      <c r="E205" s="1273"/>
      <c r="F205" s="1273"/>
      <c r="G205" s="1273"/>
      <c r="H205" s="1273"/>
      <c r="I205" s="1273"/>
    </row>
    <row r="206" spans="2:9" ht="15.75" x14ac:dyDescent="0.25">
      <c r="B206" s="1305"/>
      <c r="C206" s="1305"/>
      <c r="D206" s="1273"/>
      <c r="E206" s="1273"/>
      <c r="F206" s="1273"/>
      <c r="G206" s="1273"/>
      <c r="H206" s="1273"/>
      <c r="I206" s="1273"/>
    </row>
    <row r="207" spans="2:9" ht="15.75" x14ac:dyDescent="0.25">
      <c r="B207" s="1305"/>
      <c r="C207" s="1305"/>
      <c r="D207" s="1307"/>
      <c r="E207" s="1307"/>
      <c r="F207" s="1307"/>
      <c r="G207" s="1307"/>
      <c r="H207" s="1307"/>
      <c r="I207" s="1307"/>
    </row>
    <row r="208" spans="2:9" ht="15.75" x14ac:dyDescent="0.25">
      <c r="B208" s="1305"/>
      <c r="C208" s="1305"/>
      <c r="D208" s="1307"/>
      <c r="E208" s="1307"/>
      <c r="F208" s="1307"/>
      <c r="G208" s="1307"/>
      <c r="H208" s="1307"/>
      <c r="I208" s="1307"/>
    </row>
    <row r="209" spans="2:9" ht="15.75" x14ac:dyDescent="0.25">
      <c r="B209" s="1089"/>
      <c r="C209" s="1089"/>
      <c r="D209" s="1306"/>
      <c r="E209" s="1271"/>
      <c r="F209" s="1271"/>
      <c r="G209" s="1090"/>
      <c r="H209" s="1090"/>
      <c r="I209" s="1090"/>
    </row>
    <row r="210" spans="2:9" ht="15.75" x14ac:dyDescent="0.25">
      <c r="B210" s="1089"/>
      <c r="C210" s="1089"/>
      <c r="D210" s="1271"/>
      <c r="E210" s="1271"/>
      <c r="F210" s="1271"/>
      <c r="G210" s="1271"/>
      <c r="H210" s="1271"/>
      <c r="I210" s="1271"/>
    </row>
    <row r="211" spans="2:9" ht="15.75" x14ac:dyDescent="0.25">
      <c r="B211" s="1089"/>
      <c r="C211" s="1089"/>
      <c r="D211" s="1296"/>
      <c r="E211" s="1296"/>
      <c r="F211" s="1296"/>
      <c r="G211" s="1296"/>
      <c r="H211" s="1296"/>
      <c r="I211" s="1296"/>
    </row>
    <row r="212" spans="2:9" ht="15.75" x14ac:dyDescent="0.25">
      <c r="B212" s="1089"/>
      <c r="C212" s="1089"/>
      <c r="D212" s="1296"/>
      <c r="E212" s="1296"/>
      <c r="F212" s="1296"/>
      <c r="G212" s="1296"/>
      <c r="H212" s="1296"/>
      <c r="I212" s="1296"/>
    </row>
    <row r="213" spans="2:9" ht="15.75" x14ac:dyDescent="0.25">
      <c r="B213" s="1089"/>
      <c r="C213" s="1089"/>
      <c r="D213" s="1296"/>
      <c r="E213" s="1296"/>
      <c r="F213" s="1296"/>
      <c r="G213" s="1296"/>
      <c r="H213" s="1296"/>
      <c r="I213" s="1296"/>
    </row>
    <row r="214" spans="2:9" ht="15.75" x14ac:dyDescent="0.25">
      <c r="B214" s="1089"/>
      <c r="C214" s="1089"/>
      <c r="D214" s="1296"/>
      <c r="E214" s="1296"/>
      <c r="F214" s="1296"/>
      <c r="G214" s="1296"/>
      <c r="H214" s="1296"/>
      <c r="I214" s="1296"/>
    </row>
    <row r="215" spans="2:9" ht="15.75" x14ac:dyDescent="0.25">
      <c r="B215" s="1089"/>
      <c r="C215" s="1089"/>
      <c r="D215" s="1271"/>
      <c r="E215" s="1271"/>
      <c r="F215" s="1271"/>
      <c r="G215" s="1271"/>
      <c r="H215" s="1271"/>
      <c r="I215" s="1271"/>
    </row>
    <row r="216" spans="2:9" ht="15.75" x14ac:dyDescent="0.25">
      <c r="B216" s="1089"/>
      <c r="C216" s="1089"/>
      <c r="D216" s="1271"/>
      <c r="E216" s="1271"/>
      <c r="F216" s="1271"/>
      <c r="G216" s="1271"/>
      <c r="H216" s="1271"/>
      <c r="I216" s="1271"/>
    </row>
    <row r="217" spans="2:9" ht="15.75" x14ac:dyDescent="0.25">
      <c r="B217" s="1089"/>
      <c r="C217" s="1089"/>
      <c r="D217" s="1271"/>
      <c r="E217" s="1271"/>
      <c r="F217" s="1271"/>
      <c r="G217" s="1271"/>
      <c r="H217" s="1271"/>
      <c r="I217" s="1271"/>
    </row>
    <row r="218" spans="2:9" ht="15.75" x14ac:dyDescent="0.25">
      <c r="B218" s="1089"/>
      <c r="C218" s="1089"/>
      <c r="D218" s="1271"/>
      <c r="E218" s="1271"/>
      <c r="F218" s="1271"/>
      <c r="G218" s="1271"/>
      <c r="H218" s="1271"/>
      <c r="I218" s="1271"/>
    </row>
    <row r="219" spans="2:9" ht="15.75" x14ac:dyDescent="0.25">
      <c r="B219" s="1089"/>
      <c r="C219" s="1089"/>
      <c r="D219" s="1271"/>
      <c r="E219" s="1271"/>
      <c r="F219" s="1271"/>
      <c r="G219" s="1271"/>
      <c r="H219" s="1271"/>
      <c r="I219" s="1271"/>
    </row>
    <row r="220" spans="2:9" ht="15.75" x14ac:dyDescent="0.25">
      <c r="B220" s="1089"/>
      <c r="C220" s="1089"/>
      <c r="D220" s="1271"/>
      <c r="E220" s="1271"/>
      <c r="F220" s="1271"/>
      <c r="G220" s="1271"/>
      <c r="H220" s="1271"/>
      <c r="I220" s="1271"/>
    </row>
    <row r="221" spans="2:9" ht="15.75" x14ac:dyDescent="0.25">
      <c r="B221" s="1272"/>
      <c r="C221" s="1272"/>
      <c r="D221" s="1273"/>
      <c r="E221" s="1273"/>
      <c r="F221" s="1273"/>
      <c r="G221" s="1273"/>
      <c r="H221" s="1273"/>
      <c r="I221" s="1273"/>
    </row>
    <row r="222" spans="2:9" ht="15.75" x14ac:dyDescent="0.25">
      <c r="B222" s="1272"/>
      <c r="C222" s="1272"/>
      <c r="D222" s="1273"/>
      <c r="E222" s="1273"/>
      <c r="F222" s="1273"/>
      <c r="G222" s="1273"/>
      <c r="H222" s="1273"/>
      <c r="I222" s="1273"/>
    </row>
    <row r="223" spans="2:9" ht="15.75" x14ac:dyDescent="0.25">
      <c r="B223" s="1272"/>
      <c r="C223" s="1272"/>
      <c r="D223" s="1274"/>
      <c r="E223" s="1274"/>
      <c r="F223" s="1274"/>
      <c r="G223" s="1274"/>
      <c r="H223" s="1274"/>
      <c r="I223" s="1274"/>
    </row>
    <row r="224" spans="2:9" ht="15.75" x14ac:dyDescent="0.25">
      <c r="B224" s="1272"/>
      <c r="C224" s="1272"/>
      <c r="D224" s="1275"/>
      <c r="E224" s="1275"/>
      <c r="F224" s="1275"/>
      <c r="G224" s="1275"/>
      <c r="H224" s="1275"/>
      <c r="I224" s="1275"/>
    </row>
    <row r="225" spans="2:9" ht="15.75" x14ac:dyDescent="0.25">
      <c r="B225" s="1272"/>
      <c r="C225" s="1272"/>
      <c r="D225" s="1275"/>
      <c r="E225" s="1275"/>
      <c r="F225" s="1275"/>
      <c r="G225" s="1275"/>
      <c r="H225" s="1275"/>
      <c r="I225" s="1275"/>
    </row>
    <row r="226" spans="2:9" ht="15.75" x14ac:dyDescent="0.25">
      <c r="B226" s="1272"/>
      <c r="C226" s="1272"/>
      <c r="D226" s="1275"/>
      <c r="E226" s="1275"/>
      <c r="F226" s="1275"/>
      <c r="G226" s="1275"/>
      <c r="H226" s="1275"/>
      <c r="I226" s="1275"/>
    </row>
    <row r="227" spans="2:9" ht="15.75" x14ac:dyDescent="0.25">
      <c r="B227" s="1272"/>
      <c r="C227" s="1272"/>
      <c r="D227" s="1275"/>
      <c r="E227" s="1275"/>
      <c r="F227" s="1275"/>
      <c r="G227" s="1275"/>
      <c r="H227" s="1275"/>
      <c r="I227" s="1275"/>
    </row>
    <row r="229" spans="2:9" ht="15.75" x14ac:dyDescent="0.25">
      <c r="B229" s="1304"/>
      <c r="C229" s="1304"/>
      <c r="D229" s="1304"/>
      <c r="E229" s="1304"/>
      <c r="F229" s="1304"/>
      <c r="G229" s="1304"/>
      <c r="H229" s="1304"/>
      <c r="I229" s="1304"/>
    </row>
    <row r="230" spans="2:9" ht="15.75" x14ac:dyDescent="0.25">
      <c r="B230" s="1305"/>
      <c r="C230" s="1305"/>
      <c r="D230" s="1273"/>
      <c r="E230" s="1273"/>
      <c r="F230" s="1273"/>
      <c r="G230" s="1273"/>
      <c r="H230" s="1273"/>
      <c r="I230" s="1273"/>
    </row>
    <row r="231" spans="2:9" ht="15.75" x14ac:dyDescent="0.25">
      <c r="B231" s="1305"/>
      <c r="C231" s="1305"/>
      <c r="D231" s="1273"/>
      <c r="E231" s="1273"/>
      <c r="F231" s="1273"/>
      <c r="G231" s="1273"/>
      <c r="H231" s="1273"/>
      <c r="I231" s="1273"/>
    </row>
    <row r="232" spans="2:9" ht="15.75" x14ac:dyDescent="0.25">
      <c r="B232" s="1305"/>
      <c r="C232" s="1305"/>
      <c r="D232" s="1307"/>
      <c r="E232" s="1307"/>
      <c r="F232" s="1307"/>
      <c r="G232" s="1307"/>
      <c r="H232" s="1307"/>
      <c r="I232" s="1307"/>
    </row>
    <row r="233" spans="2:9" ht="15.75" x14ac:dyDescent="0.25">
      <c r="B233" s="1305"/>
      <c r="C233" s="1305"/>
      <c r="D233" s="1307"/>
      <c r="E233" s="1307"/>
      <c r="F233" s="1307"/>
      <c r="G233" s="1307"/>
      <c r="H233" s="1307"/>
      <c r="I233" s="1307"/>
    </row>
    <row r="234" spans="2:9" ht="15.75" x14ac:dyDescent="0.25">
      <c r="B234" s="1089"/>
      <c r="C234" s="1089"/>
      <c r="D234" s="1306"/>
      <c r="E234" s="1271"/>
      <c r="F234" s="1271"/>
      <c r="G234" s="1090"/>
      <c r="H234" s="1090"/>
      <c r="I234" s="1090"/>
    </row>
    <row r="235" spans="2:9" ht="15.75" x14ac:dyDescent="0.25">
      <c r="B235" s="1089"/>
      <c r="C235" s="1089"/>
      <c r="D235" s="1271"/>
      <c r="E235" s="1271"/>
      <c r="F235" s="1271"/>
      <c r="G235" s="1271"/>
      <c r="H235" s="1271"/>
      <c r="I235" s="1271"/>
    </row>
    <row r="236" spans="2:9" ht="15.75" x14ac:dyDescent="0.25">
      <c r="B236" s="1089"/>
      <c r="C236" s="1089"/>
      <c r="D236" s="1296"/>
      <c r="E236" s="1296"/>
      <c r="F236" s="1296"/>
      <c r="G236" s="1296"/>
      <c r="H236" s="1296"/>
      <c r="I236" s="1296"/>
    </row>
    <row r="237" spans="2:9" ht="15.75" x14ac:dyDescent="0.25">
      <c r="B237" s="1089"/>
      <c r="C237" s="1089"/>
      <c r="D237" s="1296"/>
      <c r="E237" s="1296"/>
      <c r="F237" s="1296"/>
      <c r="G237" s="1296"/>
      <c r="H237" s="1296"/>
      <c r="I237" s="1296"/>
    </row>
    <row r="238" spans="2:9" ht="15.75" x14ac:dyDescent="0.25">
      <c r="B238" s="1089"/>
      <c r="C238" s="1089"/>
      <c r="D238" s="1296"/>
      <c r="E238" s="1296"/>
      <c r="F238" s="1296"/>
      <c r="G238" s="1296"/>
      <c r="H238" s="1296"/>
      <c r="I238" s="1296"/>
    </row>
    <row r="239" spans="2:9" ht="15.75" x14ac:dyDescent="0.25">
      <c r="B239" s="1089"/>
      <c r="C239" s="1089"/>
      <c r="D239" s="1296"/>
      <c r="E239" s="1296"/>
      <c r="F239" s="1296"/>
      <c r="G239" s="1296"/>
      <c r="H239" s="1296"/>
      <c r="I239" s="1296"/>
    </row>
    <row r="240" spans="2:9" ht="15.75" x14ac:dyDescent="0.25">
      <c r="B240" s="1089"/>
      <c r="C240" s="1089"/>
      <c r="D240" s="1271"/>
      <c r="E240" s="1271"/>
      <c r="F240" s="1271"/>
      <c r="G240" s="1271"/>
      <c r="H240" s="1271"/>
      <c r="I240" s="1271"/>
    </row>
    <row r="241" spans="2:9" ht="15.75" x14ac:dyDescent="0.25">
      <c r="B241" s="1089"/>
      <c r="C241" s="1089"/>
      <c r="D241" s="1271"/>
      <c r="E241" s="1271"/>
      <c r="F241" s="1271"/>
      <c r="G241" s="1271"/>
      <c r="H241" s="1271"/>
      <c r="I241" s="1271"/>
    </row>
    <row r="242" spans="2:9" ht="15.75" x14ac:dyDescent="0.25">
      <c r="B242" s="1089"/>
      <c r="C242" s="1089"/>
      <c r="D242" s="1271"/>
      <c r="E242" s="1271"/>
      <c r="F242" s="1271"/>
      <c r="G242" s="1271"/>
      <c r="H242" s="1271"/>
      <c r="I242" s="1271"/>
    </row>
    <row r="243" spans="2:9" ht="15.75" x14ac:dyDescent="0.25">
      <c r="B243" s="1089"/>
      <c r="C243" s="1089"/>
      <c r="D243" s="1271"/>
      <c r="E243" s="1271"/>
      <c r="F243" s="1271"/>
      <c r="G243" s="1271"/>
      <c r="H243" s="1271"/>
      <c r="I243" s="1271"/>
    </row>
    <row r="244" spans="2:9" ht="15.75" x14ac:dyDescent="0.25">
      <c r="B244" s="1089"/>
      <c r="C244" s="1089"/>
      <c r="D244" s="1271"/>
      <c r="E244" s="1271"/>
      <c r="F244" s="1271"/>
      <c r="G244" s="1271"/>
      <c r="H244" s="1271"/>
      <c r="I244" s="1271"/>
    </row>
    <row r="245" spans="2:9" ht="15.75" x14ac:dyDescent="0.25">
      <c r="B245" s="1089"/>
      <c r="C245" s="1089"/>
      <c r="D245" s="1271"/>
      <c r="E245" s="1271"/>
      <c r="F245" s="1271"/>
      <c r="G245" s="1271"/>
      <c r="H245" s="1271"/>
      <c r="I245" s="1271"/>
    </row>
    <row r="246" spans="2:9" ht="15.75" x14ac:dyDescent="0.25">
      <c r="B246" s="1272"/>
      <c r="C246" s="1272"/>
      <c r="D246" s="1273"/>
      <c r="E246" s="1273"/>
      <c r="F246" s="1273"/>
      <c r="G246" s="1273"/>
      <c r="H246" s="1273"/>
      <c r="I246" s="1273"/>
    </row>
    <row r="247" spans="2:9" ht="15.75" x14ac:dyDescent="0.25">
      <c r="B247" s="1272"/>
      <c r="C247" s="1272"/>
      <c r="D247" s="1273"/>
      <c r="E247" s="1273"/>
      <c r="F247" s="1273"/>
      <c r="G247" s="1273"/>
      <c r="H247" s="1273"/>
      <c r="I247" s="1273"/>
    </row>
    <row r="248" spans="2:9" ht="15.75" x14ac:dyDescent="0.25">
      <c r="B248" s="1272"/>
      <c r="C248" s="1272"/>
      <c r="D248" s="1274"/>
      <c r="E248" s="1274"/>
      <c r="F248" s="1274"/>
      <c r="G248" s="1274"/>
      <c r="H248" s="1274"/>
      <c r="I248" s="1274"/>
    </row>
    <row r="249" spans="2:9" ht="15.75" x14ac:dyDescent="0.25">
      <c r="B249" s="1272"/>
      <c r="C249" s="1272"/>
      <c r="D249" s="1275"/>
      <c r="E249" s="1275"/>
      <c r="F249" s="1275"/>
      <c r="G249" s="1275"/>
      <c r="H249" s="1275"/>
      <c r="I249" s="1275"/>
    </row>
    <row r="250" spans="2:9" ht="15.75" x14ac:dyDescent="0.25">
      <c r="B250" s="1272"/>
      <c r="C250" s="1272"/>
      <c r="D250" s="1275"/>
      <c r="E250" s="1275"/>
      <c r="F250" s="1275"/>
      <c r="G250" s="1275"/>
      <c r="H250" s="1275"/>
      <c r="I250" s="1275"/>
    </row>
    <row r="251" spans="2:9" ht="15.75" x14ac:dyDescent="0.25">
      <c r="B251" s="1272"/>
      <c r="C251" s="1272"/>
      <c r="D251" s="1275"/>
      <c r="E251" s="1275"/>
      <c r="F251" s="1275"/>
      <c r="G251" s="1275"/>
      <c r="H251" s="1275"/>
      <c r="I251" s="1275"/>
    </row>
    <row r="252" spans="2:9" ht="15.75" x14ac:dyDescent="0.25">
      <c r="B252" s="1272"/>
      <c r="C252" s="1272"/>
      <c r="D252" s="1275"/>
      <c r="E252" s="1275"/>
      <c r="F252" s="1275"/>
      <c r="G252" s="1275"/>
      <c r="H252" s="1275"/>
      <c r="I252" s="1275"/>
    </row>
    <row r="265" spans="2:2" ht="18.75" x14ac:dyDescent="0.25">
      <c r="B265" s="707"/>
    </row>
    <row r="266" spans="2:2" ht="18.75" x14ac:dyDescent="0.25">
      <c r="B266" s="1091"/>
    </row>
    <row r="267" spans="2:2" ht="18.75" x14ac:dyDescent="0.25">
      <c r="B267" s="1091"/>
    </row>
    <row r="268" spans="2:2" ht="18.75" x14ac:dyDescent="0.25">
      <c r="B268" s="1091"/>
    </row>
    <row r="269" spans="2:2" ht="18.75" x14ac:dyDescent="0.25">
      <c r="B269" s="707"/>
    </row>
    <row r="270" spans="2:2" ht="18.75" x14ac:dyDescent="0.25">
      <c r="B270" s="707"/>
    </row>
    <row r="275" spans="2:2" ht="26.25" x14ac:dyDescent="0.25">
      <c r="B275" s="1092"/>
    </row>
    <row r="276" spans="2:2" ht="21" x14ac:dyDescent="0.25">
      <c r="B276" s="1093"/>
    </row>
    <row r="277" spans="2:2" ht="21" x14ac:dyDescent="0.25">
      <c r="B277" s="683"/>
    </row>
    <row r="278" spans="2:2" ht="21" x14ac:dyDescent="0.25">
      <c r="B278" s="683"/>
    </row>
    <row r="279" spans="2:2" ht="21" x14ac:dyDescent="0.25">
      <c r="B279" s="1093"/>
    </row>
    <row r="280" spans="2:2" ht="21" x14ac:dyDescent="0.25">
      <c r="B280" s="683"/>
    </row>
    <row r="281" spans="2:2" ht="21" x14ac:dyDescent="0.25">
      <c r="B281" s="683"/>
    </row>
    <row r="282" spans="2:2" ht="21" x14ac:dyDescent="0.25">
      <c r="B282" s="683"/>
    </row>
    <row r="283" spans="2:2" ht="21" x14ac:dyDescent="0.25">
      <c r="B283" s="1093"/>
    </row>
    <row r="284" spans="2:2" ht="21" x14ac:dyDescent="0.25">
      <c r="B284" s="683"/>
    </row>
    <row r="285" spans="2:2" ht="21" x14ac:dyDescent="0.25">
      <c r="B285" s="683"/>
    </row>
    <row r="308" spans="2:11" x14ac:dyDescent="0.25">
      <c r="B308" s="101"/>
      <c r="C308" s="101"/>
      <c r="D308" s="101"/>
      <c r="E308" s="101"/>
      <c r="F308" s="101"/>
      <c r="G308" s="101"/>
      <c r="H308" s="1334"/>
      <c r="I308" s="1334"/>
      <c r="J308" s="1334"/>
      <c r="K308" s="1334"/>
    </row>
    <row r="309" spans="2:11" x14ac:dyDescent="0.25">
      <c r="B309" s="166"/>
      <c r="C309" s="129"/>
      <c r="D309" s="129"/>
      <c r="E309" s="106"/>
      <c r="F309" s="106"/>
      <c r="G309" s="1094"/>
      <c r="H309" s="1335"/>
      <c r="I309" s="1335"/>
      <c r="J309" s="1335"/>
      <c r="K309" s="1335"/>
    </row>
    <row r="310" spans="2:11" x14ac:dyDescent="0.25">
      <c r="B310" s="166"/>
      <c r="C310" s="129"/>
      <c r="D310" s="129"/>
      <c r="E310" s="106"/>
      <c r="F310" s="106"/>
      <c r="G310" s="106"/>
      <c r="H310" s="1335"/>
      <c r="I310" s="1335"/>
      <c r="J310" s="1335"/>
      <c r="K310" s="1335"/>
    </row>
    <row r="311" spans="2:11" x14ac:dyDescent="0.25">
      <c r="B311" s="129"/>
      <c r="C311" s="166"/>
      <c r="D311" s="129"/>
      <c r="E311" s="106"/>
      <c r="F311" s="1095"/>
      <c r="G311" s="1095"/>
      <c r="H311" s="1335"/>
      <c r="I311" s="1335"/>
      <c r="J311" s="1335"/>
      <c r="K311" s="1335"/>
    </row>
    <row r="312" spans="2:11" x14ac:dyDescent="0.25">
      <c r="B312" s="129"/>
      <c r="C312" s="166"/>
      <c r="D312" s="129"/>
      <c r="E312" s="106"/>
      <c r="F312" s="1094"/>
      <c r="G312" s="1094"/>
      <c r="H312" s="1335"/>
      <c r="I312" s="1335"/>
      <c r="J312" s="1335"/>
      <c r="K312" s="1335"/>
    </row>
    <row r="313" spans="2:11" x14ac:dyDescent="0.25">
      <c r="B313" s="129"/>
      <c r="C313" s="166"/>
      <c r="D313" s="129"/>
      <c r="E313" s="106"/>
      <c r="F313" s="106"/>
      <c r="G313" s="106"/>
      <c r="H313" s="1335"/>
      <c r="I313" s="1335"/>
      <c r="J313" s="1335"/>
      <c r="K313" s="1335"/>
    </row>
    <row r="314" spans="2:11" x14ac:dyDescent="0.25">
      <c r="B314" s="129"/>
      <c r="C314" s="166"/>
      <c r="D314" s="129"/>
      <c r="E314" s="106"/>
      <c r="F314" s="106"/>
      <c r="G314" s="106"/>
      <c r="H314" s="1335"/>
      <c r="I314" s="1335"/>
      <c r="J314" s="1335"/>
      <c r="K314" s="1335"/>
    </row>
    <row r="315" spans="2:11" x14ac:dyDescent="0.25">
      <c r="B315" s="129"/>
      <c r="C315" s="166"/>
      <c r="D315" s="129"/>
      <c r="E315" s="106"/>
      <c r="F315" s="106"/>
      <c r="G315" s="106"/>
      <c r="H315" s="1335"/>
      <c r="I315" s="1335"/>
      <c r="J315" s="1335"/>
      <c r="K315" s="1335"/>
    </row>
    <row r="316" spans="2:11" x14ac:dyDescent="0.25">
      <c r="B316" s="129"/>
      <c r="C316" s="166"/>
      <c r="D316" s="129"/>
      <c r="E316" s="106"/>
      <c r="F316" s="106"/>
      <c r="G316" s="106"/>
      <c r="H316" s="1335"/>
      <c r="I316" s="1335"/>
      <c r="J316" s="1335"/>
      <c r="K316" s="1335"/>
    </row>
    <row r="317" spans="2:11" x14ac:dyDescent="0.25">
      <c r="B317" s="129"/>
      <c r="C317" s="166"/>
      <c r="D317" s="129"/>
      <c r="E317" s="106"/>
      <c r="F317" s="106"/>
      <c r="G317" s="106"/>
      <c r="H317" s="1335"/>
      <c r="I317" s="1335"/>
      <c r="J317" s="1335"/>
      <c r="K317" s="1335"/>
    </row>
    <row r="318" spans="2:11" x14ac:dyDescent="0.25">
      <c r="B318" s="166"/>
      <c r="C318" s="129"/>
      <c r="D318" s="129"/>
      <c r="E318" s="106"/>
      <c r="F318" s="106"/>
      <c r="G318" s="106"/>
      <c r="H318" s="1335"/>
      <c r="I318" s="1335"/>
      <c r="J318" s="1335"/>
      <c r="K318" s="1335"/>
    </row>
    <row r="319" spans="2:11" x14ac:dyDescent="0.25">
      <c r="B319" s="129"/>
      <c r="C319" s="166"/>
      <c r="D319" s="129"/>
      <c r="E319" s="106"/>
      <c r="F319" s="106"/>
      <c r="G319" s="106"/>
      <c r="H319" s="1335"/>
      <c r="I319" s="1335"/>
      <c r="J319" s="1335"/>
      <c r="K319" s="1335"/>
    </row>
    <row r="320" spans="2:11" x14ac:dyDescent="0.25">
      <c r="B320" s="129"/>
      <c r="C320" s="166"/>
      <c r="D320" s="129"/>
      <c r="E320" s="106"/>
      <c r="F320" s="1094"/>
      <c r="G320" s="1094"/>
      <c r="H320" s="1335"/>
      <c r="I320" s="1335"/>
      <c r="J320" s="1335"/>
      <c r="K320" s="1335"/>
    </row>
    <row r="321" spans="2:11" x14ac:dyDescent="0.25">
      <c r="B321" s="129"/>
      <c r="C321" s="166"/>
      <c r="D321" s="129"/>
      <c r="E321" s="106"/>
      <c r="F321" s="106"/>
      <c r="G321" s="106"/>
      <c r="H321" s="1335"/>
      <c r="I321" s="1335"/>
      <c r="J321" s="1335"/>
      <c r="K321" s="1335"/>
    </row>
    <row r="322" spans="2:11" x14ac:dyDescent="0.25">
      <c r="B322" s="129"/>
      <c r="C322" s="166"/>
      <c r="D322" s="129"/>
      <c r="E322" s="106"/>
      <c r="F322" s="106"/>
      <c r="G322" s="106"/>
      <c r="H322" s="1335"/>
      <c r="I322" s="1335"/>
      <c r="J322" s="1335"/>
      <c r="K322" s="1335"/>
    </row>
    <row r="323" spans="2:11" x14ac:dyDescent="0.25">
      <c r="B323" s="129"/>
      <c r="C323" s="166"/>
      <c r="D323" s="129"/>
      <c r="E323" s="106"/>
      <c r="F323" s="106"/>
      <c r="G323" s="106"/>
      <c r="H323" s="1335"/>
      <c r="I323" s="1335"/>
      <c r="J323" s="1335"/>
      <c r="K323" s="1335"/>
    </row>
    <row r="324" spans="2:11" x14ac:dyDescent="0.25">
      <c r="B324" s="129"/>
      <c r="C324" s="166"/>
      <c r="D324" s="129"/>
      <c r="E324" s="106"/>
      <c r="F324" s="106"/>
      <c r="G324" s="106"/>
      <c r="H324" s="1335"/>
      <c r="I324" s="1335"/>
      <c r="J324" s="1335"/>
      <c r="K324" s="1335"/>
    </row>
    <row r="325" spans="2:11" x14ac:dyDescent="0.25">
      <c r="B325" s="129"/>
      <c r="C325" s="166"/>
      <c r="D325" s="129"/>
      <c r="E325" s="106"/>
      <c r="F325" s="106"/>
      <c r="G325" s="106"/>
      <c r="H325" s="1335"/>
      <c r="I325" s="1335"/>
      <c r="J325" s="1335"/>
      <c r="K325" s="1335"/>
    </row>
    <row r="326" spans="2:11" x14ac:dyDescent="0.25">
      <c r="B326" s="166"/>
      <c r="C326" s="166"/>
      <c r="D326" s="129"/>
      <c r="E326" s="106"/>
      <c r="F326" s="106"/>
      <c r="G326" s="106"/>
      <c r="H326" s="1335"/>
      <c r="I326" s="1335"/>
      <c r="J326" s="1335"/>
      <c r="K326" s="1335"/>
    </row>
    <row r="327" spans="2:11" x14ac:dyDescent="0.25">
      <c r="B327" s="166"/>
      <c r="C327" s="166"/>
      <c r="D327" s="129"/>
      <c r="E327" s="106"/>
      <c r="F327" s="106"/>
      <c r="G327" s="106"/>
      <c r="H327" s="1335"/>
      <c r="I327" s="1335"/>
      <c r="J327" s="1335"/>
      <c r="K327" s="1335"/>
    </row>
    <row r="328" spans="2:11" x14ac:dyDescent="0.25">
      <c r="B328" s="166"/>
      <c r="C328" s="166"/>
      <c r="D328" s="129"/>
      <c r="E328" s="106"/>
      <c r="F328" s="106"/>
      <c r="G328" s="106"/>
      <c r="H328" s="1335"/>
      <c r="I328" s="1335"/>
      <c r="J328" s="1335"/>
      <c r="K328" s="1335"/>
    </row>
    <row r="329" spans="2:11" x14ac:dyDescent="0.25">
      <c r="B329" s="129"/>
      <c r="C329" s="166"/>
      <c r="D329" s="129"/>
      <c r="E329" s="106"/>
      <c r="F329" s="1096"/>
      <c r="G329" s="106"/>
      <c r="H329" s="1335"/>
      <c r="I329" s="1335"/>
      <c r="J329" s="1335"/>
      <c r="K329" s="1335"/>
    </row>
    <row r="330" spans="2:11" x14ac:dyDescent="0.25">
      <c r="B330" s="129"/>
      <c r="C330" s="166"/>
      <c r="D330" s="129"/>
      <c r="E330" s="106"/>
      <c r="F330" s="1096"/>
      <c r="G330" s="106"/>
      <c r="H330" s="1335"/>
      <c r="I330" s="1335"/>
      <c r="J330" s="1335"/>
      <c r="K330" s="1335"/>
    </row>
    <row r="331" spans="2:11" x14ac:dyDescent="0.25">
      <c r="B331" s="129"/>
      <c r="C331" s="166"/>
      <c r="D331" s="129"/>
      <c r="E331" s="106"/>
      <c r="F331" s="1096"/>
      <c r="G331" s="106"/>
      <c r="H331" s="1335"/>
      <c r="I331" s="1335"/>
      <c r="J331" s="1335"/>
      <c r="K331" s="1335"/>
    </row>
    <row r="332" spans="2:11" x14ac:dyDescent="0.25">
      <c r="B332" s="129"/>
      <c r="C332" s="1097"/>
      <c r="D332" s="1098"/>
      <c r="E332" s="1099"/>
      <c r="F332" s="1100"/>
      <c r="G332" s="106"/>
      <c r="H332" s="1335"/>
      <c r="I332" s="1335"/>
      <c r="J332" s="1335"/>
      <c r="K332" s="1335"/>
    </row>
    <row r="333" spans="2:11" x14ac:dyDescent="0.25">
      <c r="B333" s="129"/>
      <c r="C333" s="1097"/>
      <c r="D333" s="1098"/>
      <c r="E333" s="1099"/>
      <c r="F333" s="1100"/>
      <c r="G333" s="106"/>
      <c r="H333" s="1335"/>
      <c r="I333" s="1335"/>
      <c r="J333" s="1335"/>
      <c r="K333" s="1335"/>
    </row>
    <row r="334" spans="2:11" x14ac:dyDescent="0.25">
      <c r="B334" s="129"/>
      <c r="C334" s="1097"/>
      <c r="D334" s="1098"/>
      <c r="E334" s="1099"/>
      <c r="F334" s="1100"/>
      <c r="G334" s="106"/>
      <c r="H334" s="1335"/>
      <c r="I334" s="1335"/>
      <c r="J334" s="1335"/>
      <c r="K334" s="1335"/>
    </row>
    <row r="335" spans="2:11" x14ac:dyDescent="0.25">
      <c r="B335" s="129"/>
      <c r="C335" s="166"/>
      <c r="D335" s="129"/>
      <c r="E335" s="106"/>
      <c r="F335" s="1096"/>
      <c r="G335" s="106"/>
      <c r="H335" s="1335"/>
      <c r="I335" s="1335"/>
      <c r="J335" s="1335"/>
      <c r="K335" s="1335"/>
    </row>
    <row r="336" spans="2:11" x14ac:dyDescent="0.25">
      <c r="B336" s="129"/>
      <c r="C336" s="166"/>
      <c r="D336" s="129"/>
      <c r="E336" s="106"/>
      <c r="F336" s="1096"/>
      <c r="G336" s="106"/>
      <c r="H336" s="1335"/>
      <c r="I336" s="1335"/>
      <c r="J336" s="1335"/>
      <c r="K336" s="1335"/>
    </row>
  </sheetData>
  <sheetProtection algorithmName="SHA-512" hashValue="OxAKrAFsWCqxMkif6wpug2FUi9lVsMVB1P1OmgprmciX3PBaiLmHjtgbgpXfw9nIX5UMYSG5MAobuwFNcRhjiw==" saltValue="tS5M3uSyPPgo8nSEC04cAw==" spinCount="100000" sheet="1" objects="1" scenarios="1"/>
  <mergeCells count="269">
    <mergeCell ref="H308:K308"/>
    <mergeCell ref="H309:K317"/>
    <mergeCell ref="H318:K325"/>
    <mergeCell ref="H326:K327"/>
    <mergeCell ref="H328:K336"/>
    <mergeCell ref="B73:I73"/>
    <mergeCell ref="D19:I19"/>
    <mergeCell ref="D28:I28"/>
    <mergeCell ref="B38:C40"/>
    <mergeCell ref="D37:I37"/>
    <mergeCell ref="D38:I38"/>
    <mergeCell ref="D63:F63"/>
    <mergeCell ref="D42:I42"/>
    <mergeCell ref="D43:I43"/>
    <mergeCell ref="D71:I71"/>
    <mergeCell ref="B28:C29"/>
    <mergeCell ref="D64:I64"/>
    <mergeCell ref="D65:I65"/>
    <mergeCell ref="D66:I66"/>
    <mergeCell ref="D68:I68"/>
    <mergeCell ref="B82:I82"/>
    <mergeCell ref="D77:I77"/>
    <mergeCell ref="K43:L43"/>
    <mergeCell ref="B79:I80"/>
    <mergeCell ref="M43:R43"/>
    <mergeCell ref="M49:R49"/>
    <mergeCell ref="D44:I44"/>
    <mergeCell ref="D45:I45"/>
    <mergeCell ref="D46:I46"/>
    <mergeCell ref="D47:I47"/>
    <mergeCell ref="D62:I62"/>
    <mergeCell ref="B55:I55"/>
    <mergeCell ref="B41:C43"/>
    <mergeCell ref="B44:C45"/>
    <mergeCell ref="B46:C47"/>
    <mergeCell ref="B57:C58"/>
    <mergeCell ref="B60:I60"/>
    <mergeCell ref="D61:I61"/>
    <mergeCell ref="D48:I48"/>
    <mergeCell ref="B50:C50"/>
    <mergeCell ref="B56:C56"/>
    <mergeCell ref="D49:I49"/>
    <mergeCell ref="D50:I50"/>
    <mergeCell ref="B12:I13"/>
    <mergeCell ref="D24:I24"/>
    <mergeCell ref="D22:I22"/>
    <mergeCell ref="D26:I26"/>
    <mergeCell ref="D16:I16"/>
    <mergeCell ref="B26:C27"/>
    <mergeCell ref="D58:I58"/>
    <mergeCell ref="D56:I56"/>
    <mergeCell ref="D57:I57"/>
    <mergeCell ref="B52:I53"/>
    <mergeCell ref="B49:C49"/>
    <mergeCell ref="D27:I27"/>
    <mergeCell ref="D30:I30"/>
    <mergeCell ref="D31:I31"/>
    <mergeCell ref="D39:I39"/>
    <mergeCell ref="D40:I40"/>
    <mergeCell ref="D41:I41"/>
    <mergeCell ref="D32:I32"/>
    <mergeCell ref="B34:I34"/>
    <mergeCell ref="D35:I35"/>
    <mergeCell ref="D36:I36"/>
    <mergeCell ref="B15:I15"/>
    <mergeCell ref="B16:C16"/>
    <mergeCell ref="B21:I21"/>
    <mergeCell ref="D103:I103"/>
    <mergeCell ref="D86:I86"/>
    <mergeCell ref="D88:I88"/>
    <mergeCell ref="D89:I89"/>
    <mergeCell ref="D92:I92"/>
    <mergeCell ref="D100:I100"/>
    <mergeCell ref="D93:I93"/>
    <mergeCell ref="D97:I97"/>
    <mergeCell ref="D98:I98"/>
    <mergeCell ref="D99:I99"/>
    <mergeCell ref="D87:I87"/>
    <mergeCell ref="D95:I95"/>
    <mergeCell ref="D96:I96"/>
    <mergeCell ref="D91:I91"/>
    <mergeCell ref="D90:F90"/>
    <mergeCell ref="D107:I107"/>
    <mergeCell ref="D122:I122"/>
    <mergeCell ref="D124:I124"/>
    <mergeCell ref="B126:I127"/>
    <mergeCell ref="B83:C100"/>
    <mergeCell ref="D83:I83"/>
    <mergeCell ref="D84:I84"/>
    <mergeCell ref="D70:I70"/>
    <mergeCell ref="D85:I85"/>
    <mergeCell ref="D101:I101"/>
    <mergeCell ref="D94:I94"/>
    <mergeCell ref="D105:I105"/>
    <mergeCell ref="D106:I106"/>
    <mergeCell ref="D123:I123"/>
    <mergeCell ref="D108:I108"/>
    <mergeCell ref="D112:I112"/>
    <mergeCell ref="D118:I118"/>
    <mergeCell ref="D119:I119"/>
    <mergeCell ref="D120:I120"/>
    <mergeCell ref="D121:I121"/>
    <mergeCell ref="B111:I111"/>
    <mergeCell ref="D113:I113"/>
    <mergeCell ref="D104:I104"/>
    <mergeCell ref="D102:I102"/>
    <mergeCell ref="B131:C133"/>
    <mergeCell ref="D131:I131"/>
    <mergeCell ref="D132:I132"/>
    <mergeCell ref="D133:I133"/>
    <mergeCell ref="B130:I130"/>
    <mergeCell ref="B129:I129"/>
    <mergeCell ref="D114:I114"/>
    <mergeCell ref="D115:I115"/>
    <mergeCell ref="D116:I116"/>
    <mergeCell ref="D117:I117"/>
    <mergeCell ref="D139:I139"/>
    <mergeCell ref="D140:I140"/>
    <mergeCell ref="D141:I141"/>
    <mergeCell ref="D142:I142"/>
    <mergeCell ref="D143:I143"/>
    <mergeCell ref="D134:F134"/>
    <mergeCell ref="D135:I135"/>
    <mergeCell ref="D136:I136"/>
    <mergeCell ref="D137:I137"/>
    <mergeCell ref="D138:I138"/>
    <mergeCell ref="B154:I154"/>
    <mergeCell ref="D155:I155"/>
    <mergeCell ref="D156:I156"/>
    <mergeCell ref="D157:I157"/>
    <mergeCell ref="D158:I158"/>
    <mergeCell ref="B155:C155"/>
    <mergeCell ref="B156:C156"/>
    <mergeCell ref="B157:C157"/>
    <mergeCell ref="D144:I144"/>
    <mergeCell ref="D145:I145"/>
    <mergeCell ref="B146:C152"/>
    <mergeCell ref="D146:I146"/>
    <mergeCell ref="D147:I147"/>
    <mergeCell ref="D148:I148"/>
    <mergeCell ref="D149:I149"/>
    <mergeCell ref="D150:I150"/>
    <mergeCell ref="D151:I151"/>
    <mergeCell ref="D152:I152"/>
    <mergeCell ref="D164:I164"/>
    <mergeCell ref="D165:I165"/>
    <mergeCell ref="D166:I166"/>
    <mergeCell ref="D167:I167"/>
    <mergeCell ref="D168:I168"/>
    <mergeCell ref="D159:F159"/>
    <mergeCell ref="D160:I160"/>
    <mergeCell ref="D161:I161"/>
    <mergeCell ref="D162:I162"/>
    <mergeCell ref="D163:I163"/>
    <mergeCell ref="D218:I218"/>
    <mergeCell ref="D209:F209"/>
    <mergeCell ref="D210:I210"/>
    <mergeCell ref="B171:C177"/>
    <mergeCell ref="D171:I171"/>
    <mergeCell ref="D172:I172"/>
    <mergeCell ref="D173:I173"/>
    <mergeCell ref="D174:I174"/>
    <mergeCell ref="D175:I175"/>
    <mergeCell ref="D176:I176"/>
    <mergeCell ref="D177:I177"/>
    <mergeCell ref="D194:I194"/>
    <mergeCell ref="D195:I195"/>
    <mergeCell ref="D184:F184"/>
    <mergeCell ref="D185:I185"/>
    <mergeCell ref="D186:I186"/>
    <mergeCell ref="D187:I187"/>
    <mergeCell ref="D188:I188"/>
    <mergeCell ref="B179:I179"/>
    <mergeCell ref="B180:C183"/>
    <mergeCell ref="D180:I180"/>
    <mergeCell ref="D181:I181"/>
    <mergeCell ref="D182:I182"/>
    <mergeCell ref="D183:I183"/>
    <mergeCell ref="D244:I244"/>
    <mergeCell ref="D245:I245"/>
    <mergeCell ref="B246:C252"/>
    <mergeCell ref="D246:I246"/>
    <mergeCell ref="D247:I247"/>
    <mergeCell ref="D248:I248"/>
    <mergeCell ref="D249:I249"/>
    <mergeCell ref="D250:I250"/>
    <mergeCell ref="D251:I251"/>
    <mergeCell ref="D252:I252"/>
    <mergeCell ref="D243:I243"/>
    <mergeCell ref="D234:F234"/>
    <mergeCell ref="D235:I235"/>
    <mergeCell ref="D236:I236"/>
    <mergeCell ref="D237:I237"/>
    <mergeCell ref="D238:I238"/>
    <mergeCell ref="D239:I239"/>
    <mergeCell ref="D207:I207"/>
    <mergeCell ref="D208:I208"/>
    <mergeCell ref="D231:I231"/>
    <mergeCell ref="D232:I232"/>
    <mergeCell ref="D233:I233"/>
    <mergeCell ref="D219:I219"/>
    <mergeCell ref="D220:I220"/>
    <mergeCell ref="D221:I221"/>
    <mergeCell ref="D222:I222"/>
    <mergeCell ref="D223:I223"/>
    <mergeCell ref="D224:I224"/>
    <mergeCell ref="D225:I225"/>
    <mergeCell ref="D226:I226"/>
    <mergeCell ref="D227:I227"/>
    <mergeCell ref="D240:I240"/>
    <mergeCell ref="D241:I241"/>
    <mergeCell ref="D242:I242"/>
    <mergeCell ref="D169:I169"/>
    <mergeCell ref="D170:I170"/>
    <mergeCell ref="D213:I213"/>
    <mergeCell ref="D109:H109"/>
    <mergeCell ref="B101:C109"/>
    <mergeCell ref="D230:I230"/>
    <mergeCell ref="B112:C124"/>
    <mergeCell ref="D211:I211"/>
    <mergeCell ref="D212:I212"/>
    <mergeCell ref="B204:I204"/>
    <mergeCell ref="B205:C208"/>
    <mergeCell ref="D205:I205"/>
    <mergeCell ref="D206:I206"/>
    <mergeCell ref="B230:C233"/>
    <mergeCell ref="D214:I214"/>
    <mergeCell ref="D215:I215"/>
    <mergeCell ref="D216:I216"/>
    <mergeCell ref="D217:I217"/>
    <mergeCell ref="B229:I229"/>
    <mergeCell ref="B221:C227"/>
    <mergeCell ref="D189:I189"/>
    <mergeCell ref="D190:I190"/>
    <mergeCell ref="D191:I191"/>
    <mergeCell ref="D192:I192"/>
    <mergeCell ref="D17:I17"/>
    <mergeCell ref="B17:C19"/>
    <mergeCell ref="D29:I29"/>
    <mergeCell ref="G63:I63"/>
    <mergeCell ref="L19:O19"/>
    <mergeCell ref="L20:O20"/>
    <mergeCell ref="L21:O21"/>
    <mergeCell ref="K16:O16"/>
    <mergeCell ref="B76:C76"/>
    <mergeCell ref="D76:I76"/>
    <mergeCell ref="D23:I23"/>
    <mergeCell ref="B22:C25"/>
    <mergeCell ref="D25:I25"/>
    <mergeCell ref="B30:C31"/>
    <mergeCell ref="B35:C37"/>
    <mergeCell ref="D67:I67"/>
    <mergeCell ref="D18:I18"/>
    <mergeCell ref="D69:I69"/>
    <mergeCell ref="B61:C63"/>
    <mergeCell ref="B64:C71"/>
    <mergeCell ref="B48:C48"/>
    <mergeCell ref="D75:I75"/>
    <mergeCell ref="D74:I74"/>
    <mergeCell ref="B75:C75"/>
    <mergeCell ref="D193:I193"/>
    <mergeCell ref="B196:C202"/>
    <mergeCell ref="D196:I196"/>
    <mergeCell ref="D197:I197"/>
    <mergeCell ref="D198:I198"/>
    <mergeCell ref="D199:I199"/>
    <mergeCell ref="D200:I200"/>
    <mergeCell ref="D201:I201"/>
    <mergeCell ref="D202:I202"/>
  </mergeCells>
  <hyperlinks>
    <hyperlink ref="D67" location="'TM1_micromobilidade '!A1" display="TM1_micromobilidade" xr:uid="{59E23CEF-6ECC-49D4-8238-A6EB66E19ACC}"/>
    <hyperlink ref="D68:I68" location="TM2_rodovia!A1" display="TM2_rodovia" xr:uid="{ADE38F17-4F57-4760-8D86-E5F7E980D376}"/>
    <hyperlink ref="D69:I69" location="'TM3_ferrovia e metro'!A1" display="TM3_ferrovia e metro" xr:uid="{E1D200BF-4BCF-4082-ADDE-08BECE02E7E3}"/>
    <hyperlink ref="D70:I70" location="'TM4_vias navegáveis interiores'!A1" display="TM4_vias navegáveis interiores" xr:uid="{D256DCF0-0DD3-457B-9044-E63A43CB9556}"/>
    <hyperlink ref="D85:I85" location="TR_triagem!A1" display="3. Preencher o questionário da folha da &quot;Triagem&quot;. Este procedimento permitirá listar as folhas folhas a preencher para o cáclulo das emissões de GEE do projeto." xr:uid="{961FB7BC-B999-43C1-ADA3-1F59A879A3AC}"/>
    <hyperlink ref="D86:I86" location="'ID_Identificação do projeto'!A1" display="4. Preencher a folha &quot;Identificação do projeto&quot; com as informações do projeto. Campos de preenchimento obrigatório:" xr:uid="{32DF5C92-F966-4ABF-9D57-737B277B69F4}"/>
    <hyperlink ref="C6" location="'PFs_Instruções e PFs'!B13" display="1.1 Quais são os objetivos da calculadora GEE_mobilidade?" xr:uid="{88145430-6CF6-417C-959D-9771161C1AF4}"/>
    <hyperlink ref="C7" location="'PFs_Instruções e PFs'!B21" display="1.2 Quais são os indicadores e as emissões de GEE que a ferramenta permite calcular?" xr:uid="{5FDEC516-5E49-495B-89AE-507EABE16CDC}"/>
    <hyperlink ref="C8" location="'PFs_Instruções e PFs'!B37" display="1.3 Quais são os projetos abrangidos pela calculadora?" xr:uid="{E2EAA37E-5794-458D-AEB1-42E706230C48}"/>
    <hyperlink ref="E6" location="'PFs_Instruções e PFs'!B57" display="2.1 Quais são os referenciais metodológicos da calculadora?" xr:uid="{52D69735-C61A-43AF-9E0E-E49003C5CDBB}"/>
    <hyperlink ref="E7" location="'PFs_Instruções e PFs'!B63" display="2.2 Quais são os pressupostos metodológicos subjacentes ao cálculo das emissões de GEE relativas?" xr:uid="{27EC2BBD-D04E-402A-B8B5-8B0D2ABC098E}"/>
    <hyperlink ref="E8" location="'PFs_Instruções e PFs'!B75" display="2.3 Como foram estimados os fatores de emissão padrão?" xr:uid="{17FE743F-F937-46D6-AA24-83FD19C49956}"/>
    <hyperlink ref="G6" location="'PFs_Instruções e PFs'!B87" display="3.1 Como  iniciar o cálculo das emissões de GEE com a GEE_mobilidade?" xr:uid="{938D7FD7-5EC1-4AAE-B48E-2893F9696838}"/>
    <hyperlink ref="G63" location="'IC_todos os projetos'!A1" display="IC_todos os projetos" xr:uid="{4E70AE1A-9E07-449B-AE9A-0AFFC725708D}"/>
    <hyperlink ref="D71:I71" location="'TM5_parques de estacionamento'!A1" display="TM5_parques de estacionamento" xr:uid="{8E55DF53-83DE-4D35-988A-564F15FD9549}"/>
    <hyperlink ref="I109" location="RE_resultados!B3" display="RE_resultados" xr:uid="{64F92BF6-7206-4859-8B5C-FD0741CFC9FD}"/>
    <hyperlink ref="D57:I57" r:id="rId1" display="1. Metodologia do Banco Europeu de Investimento para o cálculo da Pegada de Carbono de projetos: EIB Project Carbon Footprint Methodologies, version 11.3, January 2023" xr:uid="{1BE62FAA-F566-43A4-B2E4-5680BD4BB1E2}"/>
    <hyperlink ref="D56:I56" r:id="rId2" display="1. Orientações técnicas sobre a resistência às alterações climáticas das infraestruturas no período 2021-2027 (2021/C 373/01)" xr:uid="{7CA87C50-76EC-4683-9BAF-197934440194}"/>
    <hyperlink ref="D58:I58" r:id="rId3" display="2. Proposta do Banco Europeu de Investimento para o custo-sombra do carbono: EIB Group Climate Bank Roadmap 2021-2025, November 2020. pg. 121." xr:uid="{A285644D-B00C-4400-BBB7-DDA3A858B9E7}"/>
    <hyperlink ref="G7" location="'PFs_Instruções e PFs'!B117" display="3.2 Como  interpretar os resultados das emissões relativas e das emissões evitadas ?" xr:uid="{16015686-808A-45C7-B16F-C700FC674931}"/>
  </hyperlinks>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35C24-7A3E-46BE-9FE6-20F6D047397D}">
  <sheetPr codeName="Sheet3">
    <tabColor theme="1"/>
  </sheetPr>
  <dimension ref="A2:Q22"/>
  <sheetViews>
    <sheetView showGridLines="0" topLeftCell="A2" zoomScale="50" zoomScaleNormal="50" workbookViewId="0">
      <pane ySplit="1" topLeftCell="A3" activePane="bottomLeft" state="frozen"/>
      <selection activeCell="A2" sqref="A2"/>
      <selection pane="bottomLeft" activeCell="D22" sqref="D22"/>
    </sheetView>
  </sheetViews>
  <sheetFormatPr defaultRowHeight="15" x14ac:dyDescent="0.25"/>
  <cols>
    <col min="1" max="1" width="3.7109375" customWidth="1"/>
    <col min="2" max="2" width="80.28515625" customWidth="1"/>
    <col min="3" max="3" width="109.28515625" style="45" customWidth="1"/>
    <col min="4" max="4" width="37.28515625" customWidth="1"/>
    <col min="5" max="5" width="51.28515625" customWidth="1"/>
    <col min="8" max="8" width="12" bestFit="1" customWidth="1"/>
    <col min="9" max="9" width="53.7109375" customWidth="1"/>
  </cols>
  <sheetData>
    <row r="2" spans="1:17" s="1203" customFormat="1" ht="71.45" customHeight="1" x14ac:dyDescent="0.25">
      <c r="A2" s="1201"/>
      <c r="B2" s="1341" t="s">
        <v>576</v>
      </c>
      <c r="C2" s="1341"/>
      <c r="D2" s="1341"/>
      <c r="E2" s="1202"/>
      <c r="F2" s="1202"/>
      <c r="G2" s="1202"/>
      <c r="H2" s="1202"/>
      <c r="I2" s="1202"/>
      <c r="J2" s="1202"/>
      <c r="K2" s="1202"/>
      <c r="L2" s="1202"/>
      <c r="M2" s="1202"/>
      <c r="N2" s="1202"/>
      <c r="O2" s="1202"/>
      <c r="P2" s="1202"/>
      <c r="Q2" s="1202"/>
    </row>
    <row r="4" spans="1:17" ht="24" customHeight="1" x14ac:dyDescent="0.25">
      <c r="B4" s="686" t="s">
        <v>634</v>
      </c>
      <c r="C4" s="687"/>
      <c r="D4" s="687"/>
      <c r="E4" s="1204"/>
      <c r="F4" s="1205"/>
    </row>
    <row r="5" spans="1:17" s="45" customFormat="1" ht="118.9" customHeight="1" x14ac:dyDescent="0.25">
      <c r="B5" s="1206" t="s">
        <v>758</v>
      </c>
      <c r="C5" s="1343" t="s">
        <v>1216</v>
      </c>
      <c r="D5" s="1344"/>
      <c r="E5" s="1345"/>
      <c r="F5" s="1196"/>
      <c r="I5" s="603"/>
    </row>
    <row r="6" spans="1:17" s="45" customFormat="1" ht="73.150000000000006" customHeight="1" x14ac:dyDescent="0.25">
      <c r="B6" s="1206" t="s">
        <v>760</v>
      </c>
      <c r="C6" s="1346" t="s">
        <v>759</v>
      </c>
      <c r="D6" s="1347"/>
      <c r="E6" s="1348"/>
      <c r="F6" s="1196"/>
      <c r="I6" s="603"/>
    </row>
    <row r="7" spans="1:17" s="45" customFormat="1" ht="49.9" customHeight="1" x14ac:dyDescent="0.25">
      <c r="B7" s="1207" t="s">
        <v>762</v>
      </c>
      <c r="C7" s="1346" t="s">
        <v>761</v>
      </c>
      <c r="D7" s="1347"/>
      <c r="E7" s="1348"/>
      <c r="F7" s="1196"/>
      <c r="I7" s="603"/>
    </row>
    <row r="8" spans="1:17" ht="13.15" customHeight="1" thickBot="1" x14ac:dyDescent="0.3">
      <c r="B8" s="289" t="s">
        <v>112</v>
      </c>
      <c r="C8" s="289"/>
      <c r="D8" s="289"/>
      <c r="I8" s="1208"/>
      <c r="J8" s="1289"/>
      <c r="K8" s="1289"/>
      <c r="L8" s="1289"/>
      <c r="M8" s="1289"/>
    </row>
    <row r="9" spans="1:17" ht="34.15" customHeight="1" thickTop="1" thickBot="1" x14ac:dyDescent="0.3">
      <c r="B9" s="646"/>
      <c r="C9" s="1209"/>
      <c r="D9" s="1210"/>
      <c r="E9" s="1211" t="s">
        <v>577</v>
      </c>
    </row>
    <row r="10" spans="1:17" ht="39" customHeight="1" thickBot="1" x14ac:dyDescent="0.3">
      <c r="B10" s="1212"/>
      <c r="C10" s="1349" t="s">
        <v>567</v>
      </c>
      <c r="D10" s="1350"/>
      <c r="E10" s="1233" t="s">
        <v>582</v>
      </c>
    </row>
    <row r="11" spans="1:17" ht="10.15" customHeight="1" x14ac:dyDescent="0.25">
      <c r="B11" s="1212"/>
      <c r="C11" s="1213"/>
      <c r="D11" s="1214"/>
      <c r="E11" s="1199"/>
    </row>
    <row r="12" spans="1:17" ht="53.45" customHeight="1" thickBot="1" x14ac:dyDescent="0.55000000000000004">
      <c r="B12" s="1215" t="s">
        <v>584</v>
      </c>
      <c r="C12" s="573" t="s">
        <v>583</v>
      </c>
      <c r="D12" s="573" t="s">
        <v>763</v>
      </c>
      <c r="E12" s="1200"/>
      <c r="F12" s="1216"/>
      <c r="H12" s="1217"/>
    </row>
    <row r="13" spans="1:17" s="404" customFormat="1" ht="60" customHeight="1" thickTop="1" thickBot="1" x14ac:dyDescent="0.3">
      <c r="B13" s="1342" t="s">
        <v>684</v>
      </c>
      <c r="C13" s="1218" t="s">
        <v>569</v>
      </c>
      <c r="D13" s="1231" t="s">
        <v>585</v>
      </c>
      <c r="E13" s="1232" t="s">
        <v>1282</v>
      </c>
      <c r="F13" s="553"/>
      <c r="G13" s="553"/>
    </row>
    <row r="14" spans="1:17" s="404" customFormat="1" ht="60" customHeight="1" thickTop="1" thickBot="1" x14ac:dyDescent="0.3">
      <c r="B14" s="1342"/>
      <c r="C14" s="1219" t="s">
        <v>570</v>
      </c>
      <c r="D14" s="1231" t="s">
        <v>585</v>
      </c>
      <c r="E14" s="1232" t="s">
        <v>1281</v>
      </c>
      <c r="F14" s="554"/>
      <c r="G14" s="554"/>
      <c r="H14" s="554"/>
      <c r="I14" s="63"/>
    </row>
    <row r="15" spans="1:17" s="404" customFormat="1" ht="60" customHeight="1" thickTop="1" thickBot="1" x14ac:dyDescent="0.3">
      <c r="B15" s="1342"/>
      <c r="C15" s="1219" t="s">
        <v>571</v>
      </c>
      <c r="D15" s="1228" t="s">
        <v>585</v>
      </c>
      <c r="E15" s="1232" t="s">
        <v>1283</v>
      </c>
      <c r="F15" s="554"/>
      <c r="G15" s="554"/>
      <c r="I15" s="63"/>
    </row>
    <row r="16" spans="1:17" s="404" customFormat="1" ht="60" customHeight="1" thickTop="1" thickBot="1" x14ac:dyDescent="0.3">
      <c r="B16" s="1342"/>
      <c r="C16" s="1219" t="s">
        <v>572</v>
      </c>
      <c r="D16" s="1228" t="s">
        <v>585</v>
      </c>
      <c r="E16" s="1232" t="s">
        <v>1284</v>
      </c>
      <c r="F16" s="554"/>
      <c r="G16" s="554"/>
      <c r="I16" s="63"/>
    </row>
    <row r="17" spans="2:9" s="404" customFormat="1" ht="64.150000000000006" customHeight="1" thickTop="1" thickBot="1" x14ac:dyDescent="0.3">
      <c r="B17" s="1342"/>
      <c r="C17" s="1219" t="s">
        <v>573</v>
      </c>
      <c r="D17" s="1228" t="s">
        <v>585</v>
      </c>
      <c r="E17" s="1232" t="s">
        <v>1285</v>
      </c>
      <c r="I17" s="1220"/>
    </row>
    <row r="18" spans="2:9" ht="66" customHeight="1" thickTop="1" thickBot="1" x14ac:dyDescent="0.35">
      <c r="B18" s="1338" t="s">
        <v>1171</v>
      </c>
      <c r="C18" s="1219" t="s">
        <v>574</v>
      </c>
      <c r="D18" s="1231" t="s">
        <v>585</v>
      </c>
      <c r="E18" s="1232" t="s">
        <v>578</v>
      </c>
      <c r="F18" s="446"/>
    </row>
    <row r="19" spans="2:9" ht="61.9" customHeight="1" thickTop="1" thickBot="1" x14ac:dyDescent="0.35">
      <c r="B19" s="1339"/>
      <c r="C19" s="1219" t="s">
        <v>575</v>
      </c>
      <c r="D19" s="1228" t="s">
        <v>585</v>
      </c>
      <c r="E19" s="1232" t="s">
        <v>579</v>
      </c>
      <c r="F19" s="446"/>
    </row>
    <row r="20" spans="2:9" ht="64.900000000000006" customHeight="1" thickTop="1" thickBot="1" x14ac:dyDescent="0.35">
      <c r="B20" s="1339"/>
      <c r="C20" s="1219" t="s">
        <v>722</v>
      </c>
      <c r="D20" s="1228" t="s">
        <v>585</v>
      </c>
      <c r="E20" s="1232" t="s">
        <v>580</v>
      </c>
      <c r="F20" s="446"/>
    </row>
    <row r="21" spans="2:9" ht="60.6" customHeight="1" thickTop="1" thickBot="1" x14ac:dyDescent="0.35">
      <c r="B21" s="1339"/>
      <c r="C21" s="1219" t="s">
        <v>723</v>
      </c>
      <c r="D21" s="1228" t="s">
        <v>585</v>
      </c>
      <c r="E21" s="1232" t="s">
        <v>581</v>
      </c>
      <c r="F21" s="446"/>
    </row>
    <row r="22" spans="2:9" ht="61.15" customHeight="1" thickTop="1" thickBot="1" x14ac:dyDescent="0.3">
      <c r="B22" s="1340"/>
      <c r="C22" s="1221" t="s">
        <v>685</v>
      </c>
      <c r="D22" s="1229" t="s">
        <v>585</v>
      </c>
      <c r="E22" s="1232" t="s">
        <v>686</v>
      </c>
    </row>
  </sheetData>
  <sheetProtection algorithmName="SHA-512" hashValue="DYJn2M+tWTPwj94QNpPsJSGHi9rZi6NhtiZEeEQ2K1wT2Ww+gn31Z8cUDaPq1CyzriFZiXbvk8/1Nvzj6+LBgw==" saltValue="n6NqSJ9yLdaANWIUpBbFcg==" spinCount="100000" sheet="1" selectLockedCells="1"/>
  <mergeCells count="8">
    <mergeCell ref="J8:M8"/>
    <mergeCell ref="B18:B22"/>
    <mergeCell ref="B2:D2"/>
    <mergeCell ref="B13:B17"/>
    <mergeCell ref="C5:E5"/>
    <mergeCell ref="C6:E6"/>
    <mergeCell ref="C7:E7"/>
    <mergeCell ref="C10:D10"/>
  </mergeCells>
  <hyperlinks>
    <hyperlink ref="E18" location="'TM1_micromobilidade '!A1" display="TM1_micromobilidade" xr:uid="{7C5C1A2B-1565-4ACF-9818-089F8BD17E0E}"/>
    <hyperlink ref="E19" location="TM2_rodovia!A1" display="TM2_rodovia" xr:uid="{9A7855A9-3CDC-4787-822A-A55EBE4CC27C}"/>
    <hyperlink ref="E20" location="'TM3_ferrovia e metro'!A1" display="TM3_ferrovia e metro" xr:uid="{158D5E9B-20DB-4686-B033-7E20A3CD282E}"/>
    <hyperlink ref="E21" location="'TM4_vias navegáveis interiores'!A1" display="TM4_vias navegáveis interiores" xr:uid="{DBB652D7-F420-41DA-9A26-8A2256945160}"/>
    <hyperlink ref="E14" location="'IC_todos os projetos'!A3" display="Separador IC_todos os projetos; Tabela  IC2_Projetos de transporte rodoviário de passageiros" xr:uid="{1E36EE12-7F5F-4662-9C0A-29D47E7FD683}"/>
    <hyperlink ref="E15" location="'IC_todos os projetos'!A3" display="Separador IC_todos os projetos;  Tabela  IC3_Projetos de transporte ferroviário de passageiros" xr:uid="{8D4074E6-ADF8-4543-A350-98DC09242B8F}"/>
    <hyperlink ref="E16" location="'IC_todos os projetos'!A3" display="Separador IC_todos os projetos; Tabela  IC4_Projetos de transporte de passageiros em vias navegáveis interiores" xr:uid="{D41F9130-771C-42F5-91FC-BAC73FDBBB5B}"/>
    <hyperlink ref="E17" location="'IC_todos os projetos'!A3" display="Separador IC_todos os projetos; Tabela  IC5_Projetos de carregamento de veículos/navios/embarcações" xr:uid="{05D0EBF2-CEA8-4827-A109-92C26F723563}"/>
    <hyperlink ref="E10" location="'ID_Identificação do projeto'!A1" display="ID_Identificação do projeto " xr:uid="{BF8CC618-1147-427D-A055-520B6E56BFF9}"/>
    <hyperlink ref="E22" location="'TM5_parques de estacionamento'!A1" display="Separador TM5_parques estacionamento" xr:uid="{4E79554D-748F-4973-BFE7-AEA2F8525C68}"/>
    <hyperlink ref="E13" location="'IC_todos os projetos'!A3" display="Separador IC_todos os projetos;  Tabela IC1_Projetos de micromobilidade" xr:uid="{15FBE1DD-AB67-4B4C-B6FC-CDF812BC2744}"/>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5AA54739-0073-495E-9EED-89527A2DA1F3}">
            <xm:f>FACalc_micromobilidade!$C$14=FAListas!#REF!</xm:f>
            <x14:dxf>
              <fill>
                <patternFill>
                  <bgColor theme="1"/>
                </patternFill>
              </fill>
            </x14:dxf>
          </x14:cfRule>
          <xm:sqref>B9:E9</xm:sqref>
        </x14:conditionalFormatting>
        <x14:conditionalFormatting xmlns:xm="http://schemas.microsoft.com/office/excel/2006/main">
          <x14:cfRule type="expression" priority="13" id="{DC733D61-3F9B-45FE-A623-B03FFA2FF5CD}">
            <xm:f>FACalc_micromobilidade!$C$14=FAListas!#REF!</xm:f>
            <x14:dxf>
              <fill>
                <patternFill>
                  <bgColor theme="1"/>
                </patternFill>
              </fill>
            </x14:dxf>
          </x14:cfRule>
          <xm:sqref>C12:D12</xm:sqref>
        </x14:conditionalFormatting>
        <x14:conditionalFormatting xmlns:xm="http://schemas.microsoft.com/office/excel/2006/main">
          <x14:cfRule type="expression" priority="7" id="{2F2939F2-3304-495C-8EF7-D9E73262CF46}">
            <xm:f>D13=FAListas!$C$16</xm:f>
            <x14:dxf>
              <font>
                <color theme="8" tint="-0.24994659260841701"/>
              </font>
              <fill>
                <patternFill patternType="none">
                  <bgColor auto="1"/>
                </patternFill>
              </fill>
            </x14:dxf>
          </x14:cfRule>
          <xm:sqref>E13:E22</xm:sqref>
        </x14:conditionalFormatting>
        <x14:conditionalFormatting xmlns:xm="http://schemas.microsoft.com/office/excel/2006/main">
          <x14:cfRule type="expression" priority="10" id="{BBCC195B-AFAA-4C77-BF97-73B90000D157}">
            <xm:f>$D$15=FAListas!$C$16</xm:f>
            <x14:dxf>
              <fill>
                <patternFill patternType="none">
                  <bgColor auto="1"/>
                </patternFill>
              </fill>
            </x14:dxf>
          </x14:cfRule>
          <xm:sqref>E15</xm:sqref>
        </x14:conditionalFormatting>
        <x14:conditionalFormatting xmlns:xm="http://schemas.microsoft.com/office/excel/2006/main">
          <x14:cfRule type="expression" priority="9" id="{A858F46A-F3A4-4ECB-A2C7-E44DB14C9260}">
            <xm:f>$D$16=FAListas!$C$16</xm:f>
            <x14:dxf>
              <fill>
                <patternFill patternType="none">
                  <bgColor auto="1"/>
                </patternFill>
              </fill>
            </x14:dxf>
          </x14:cfRule>
          <xm:sqref>E16</xm:sqref>
        </x14:conditionalFormatting>
        <x14:conditionalFormatting xmlns:xm="http://schemas.microsoft.com/office/excel/2006/main">
          <x14:cfRule type="expression" priority="8" id="{69541C3C-2D85-43DC-A0BF-148F265615E9}">
            <xm:f>$D$17=FAListas!$C$16</xm:f>
            <x14:dxf>
              <fill>
                <patternFill patternType="none">
                  <bgColor auto="1"/>
                </patternFill>
              </fill>
            </x14:dxf>
          </x14:cfRule>
          <xm:sqref>E17</xm:sqref>
        </x14:conditionalFormatting>
        <x14:conditionalFormatting xmlns:xm="http://schemas.microsoft.com/office/excel/2006/main">
          <x14:cfRule type="expression" priority="5" id="{5C48A6AA-B3A2-4336-A84F-6C05D257CEE9}">
            <xm:f>$D$19=FAListas!$C$16</xm:f>
            <x14:dxf>
              <fill>
                <patternFill patternType="none">
                  <bgColor auto="1"/>
                </patternFill>
              </fill>
            </x14:dxf>
          </x14:cfRule>
          <xm:sqref>E19</xm:sqref>
        </x14:conditionalFormatting>
        <x14:conditionalFormatting xmlns:xm="http://schemas.microsoft.com/office/excel/2006/main">
          <x14:cfRule type="expression" priority="4" id="{3DD98482-0424-4FE6-BFB1-E1373AFC37BB}">
            <xm:f>$D$20=FAListas!$C$16</xm:f>
            <x14:dxf>
              <fill>
                <patternFill patternType="none">
                  <bgColor auto="1"/>
                </patternFill>
              </fill>
            </x14:dxf>
          </x14:cfRule>
          <xm:sqref>E20</xm:sqref>
        </x14:conditionalFormatting>
        <x14:conditionalFormatting xmlns:xm="http://schemas.microsoft.com/office/excel/2006/main">
          <x14:cfRule type="expression" priority="3" id="{AF6D6A05-BD2B-4CDA-96B8-6C22F54DAF3F}">
            <xm:f>$D$21=FAListas!$C$16</xm:f>
            <x14:dxf>
              <fill>
                <patternFill patternType="none">
                  <bgColor auto="1"/>
                </patternFill>
              </fill>
            </x14:dxf>
          </x14:cfRule>
          <xm:sqref>E21</xm:sqref>
        </x14:conditionalFormatting>
        <x14:conditionalFormatting xmlns:xm="http://schemas.microsoft.com/office/excel/2006/main">
          <x14:cfRule type="expression" priority="1" id="{67C8672A-87B3-4FA2-AC42-0181F05D95A6}">
            <xm:f>$D$22=FAListas!$C$16</xm:f>
            <x14:dxf>
              <fill>
                <patternFill patternType="none">
                  <bgColor auto="1"/>
                </patternFill>
              </fill>
            </x14:dxf>
          </x14:cfRule>
          <xm:sqref>E22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BCA83CB-B85A-4483-B3E5-EB9A5259BC32}">
          <x14:formula1>
            <xm:f>FAListas!$C$15:$C$17</xm:f>
          </x14:formula1>
          <xm:sqref>D13:D22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15ED0-E5B6-41E5-AD75-A44143D2E991}">
  <sheetPr>
    <tabColor theme="1"/>
  </sheetPr>
  <dimension ref="A2:F31"/>
  <sheetViews>
    <sheetView showGridLines="0" zoomScale="65" zoomScaleNormal="65" workbookViewId="0">
      <pane ySplit="2" topLeftCell="A3" activePane="bottomLeft" state="frozen"/>
      <selection activeCell="D13" sqref="D13"/>
      <selection pane="bottomLeft" activeCell="C4" sqref="C4:E4"/>
    </sheetView>
  </sheetViews>
  <sheetFormatPr defaultRowHeight="15" x14ac:dyDescent="0.25"/>
  <cols>
    <col min="1" max="1" width="4.28515625" customWidth="1"/>
    <col min="2" max="2" width="114" customWidth="1"/>
    <col min="3" max="3" width="21.7109375" customWidth="1"/>
    <col min="4" max="4" width="41.28515625" customWidth="1"/>
    <col min="5" max="5" width="28" customWidth="1"/>
    <col min="6" max="6" width="40.7109375" customWidth="1"/>
  </cols>
  <sheetData>
    <row r="2" spans="1:6" s="635" customFormat="1" ht="76.900000000000006" customHeight="1" x14ac:dyDescent="0.25">
      <c r="A2"/>
      <c r="B2" s="1341" t="s">
        <v>485</v>
      </c>
      <c r="C2" s="1341"/>
      <c r="D2" s="1341"/>
      <c r="E2" s="1341"/>
      <c r="F2" s="1341"/>
    </row>
    <row r="3" spans="1:6" ht="25.15" customHeight="1" x14ac:dyDescent="0.25"/>
    <row r="4" spans="1:6" ht="40.15" customHeight="1" x14ac:dyDescent="0.25">
      <c r="B4" s="302" t="s">
        <v>148</v>
      </c>
      <c r="C4" s="1353" t="s">
        <v>521</v>
      </c>
      <c r="D4" s="1353"/>
      <c r="E4" s="1353"/>
      <c r="F4" s="534"/>
    </row>
    <row r="5" spans="1:6" ht="10.15" customHeight="1" x14ac:dyDescent="0.25">
      <c r="B5" s="302"/>
      <c r="C5" s="576"/>
      <c r="D5" s="576"/>
      <c r="E5" s="576"/>
      <c r="F5" s="504"/>
    </row>
    <row r="6" spans="1:6" ht="40.15" customHeight="1" x14ac:dyDescent="0.25">
      <c r="B6" s="303" t="s">
        <v>137</v>
      </c>
      <c r="C6" s="1351" t="s">
        <v>522</v>
      </c>
      <c r="D6" s="1351"/>
      <c r="E6" s="1351"/>
      <c r="F6" s="505"/>
    </row>
    <row r="7" spans="1:6" ht="10.15" customHeight="1" x14ac:dyDescent="0.25">
      <c r="B7" s="303"/>
      <c r="C7" s="577"/>
      <c r="D7" s="577"/>
      <c r="E7" s="577"/>
      <c r="F7" s="505"/>
    </row>
    <row r="8" spans="1:6" ht="40.15" customHeight="1" x14ac:dyDescent="0.25">
      <c r="B8" s="303" t="s">
        <v>138</v>
      </c>
      <c r="C8" s="1351" t="s">
        <v>523</v>
      </c>
      <c r="D8" s="1351"/>
      <c r="E8" s="1351"/>
      <c r="F8" s="505"/>
    </row>
    <row r="9" spans="1:6" ht="10.15" customHeight="1" x14ac:dyDescent="0.25">
      <c r="B9" s="303"/>
      <c r="C9" s="577"/>
      <c r="D9" s="577"/>
      <c r="E9" s="577"/>
      <c r="F9" s="505"/>
    </row>
    <row r="10" spans="1:6" ht="40.15" customHeight="1" x14ac:dyDescent="0.25">
      <c r="B10" s="303" t="s">
        <v>139</v>
      </c>
      <c r="C10" s="1351" t="s">
        <v>524</v>
      </c>
      <c r="D10" s="1351"/>
      <c r="E10" s="1351"/>
      <c r="F10" s="505"/>
    </row>
    <row r="11" spans="1:6" ht="10.15" customHeight="1" x14ac:dyDescent="0.25">
      <c r="B11" s="303"/>
      <c r="C11" s="577"/>
      <c r="D11" s="577"/>
      <c r="E11" s="577"/>
      <c r="F11" s="505"/>
    </row>
    <row r="12" spans="1:6" ht="40.15" customHeight="1" x14ac:dyDescent="0.25">
      <c r="B12" s="303" t="s">
        <v>140</v>
      </c>
      <c r="C12" s="1352" t="s">
        <v>525</v>
      </c>
      <c r="D12" s="1352"/>
      <c r="E12" s="1352"/>
      <c r="F12" s="505"/>
    </row>
    <row r="13" spans="1:6" ht="10.15" customHeight="1" x14ac:dyDescent="0.35">
      <c r="C13" s="578"/>
      <c r="D13" s="578"/>
      <c r="E13" s="578"/>
    </row>
    <row r="14" spans="1:6" ht="40.15" customHeight="1" x14ac:dyDescent="0.25">
      <c r="B14" s="513" t="s">
        <v>1311</v>
      </c>
      <c r="C14" s="1351" t="s">
        <v>1350</v>
      </c>
      <c r="D14" s="1351"/>
      <c r="E14" s="1351"/>
      <c r="F14" s="505"/>
    </row>
    <row r="15" spans="1:6" ht="10.15" customHeight="1" x14ac:dyDescent="0.25">
      <c r="B15" s="303"/>
      <c r="C15" s="577"/>
      <c r="D15" s="577"/>
      <c r="E15" s="577"/>
      <c r="F15" s="506"/>
    </row>
    <row r="16" spans="1:6" ht="39.6" customHeight="1" x14ac:dyDescent="0.25">
      <c r="B16" s="513" t="s">
        <v>529</v>
      </c>
      <c r="C16" s="1351" t="s">
        <v>146</v>
      </c>
      <c r="D16" s="1351"/>
      <c r="E16" s="1351"/>
      <c r="F16" s="505"/>
    </row>
    <row r="17" spans="2:6" ht="10.15" customHeight="1" x14ac:dyDescent="0.25">
      <c r="B17" s="303"/>
      <c r="C17" s="579"/>
      <c r="D17" s="579"/>
      <c r="E17" s="579"/>
      <c r="F17" s="507"/>
    </row>
    <row r="18" spans="2:6" ht="40.9" customHeight="1" x14ac:dyDescent="0.25">
      <c r="B18" s="513" t="s">
        <v>1310</v>
      </c>
      <c r="C18" s="1352" t="s">
        <v>146</v>
      </c>
      <c r="D18" s="1352"/>
      <c r="E18" s="1352"/>
      <c r="F18" s="505"/>
    </row>
    <row r="20" spans="2:6" ht="40.15" customHeight="1" x14ac:dyDescent="0.25">
      <c r="B20" s="513" t="s">
        <v>1312</v>
      </c>
      <c r="C20" s="1351" t="s">
        <v>1351</v>
      </c>
      <c r="D20" s="1351"/>
      <c r="E20" s="1351"/>
    </row>
    <row r="31" spans="2:6" x14ac:dyDescent="0.25">
      <c r="E31" s="47"/>
    </row>
  </sheetData>
  <sheetProtection algorithmName="SHA-512" hashValue="kh4u321qQUPRQAkpXF8vmvX9r5xIfocXKYSBza4OlFBqzkWGjjjWI4B0nwcPYDLTxYKfGOFMKdUErTClHQuhYg==" saltValue="G5Lyo0rGwnTtP05GkpnIkQ==" spinCount="100000" sheet="1" objects="1" scenarios="1" selectLockedCells="1"/>
  <mergeCells count="10">
    <mergeCell ref="C20:E20"/>
    <mergeCell ref="C18:E18"/>
    <mergeCell ref="B2:F2"/>
    <mergeCell ref="C16:E16"/>
    <mergeCell ref="C4:E4"/>
    <mergeCell ref="C6:E6"/>
    <mergeCell ref="C8:E8"/>
    <mergeCell ref="C10:E10"/>
    <mergeCell ref="C12:E12"/>
    <mergeCell ref="C14:E14"/>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1CDE83EC-834C-46BF-B6DD-57189080BBDE}">
          <x14:formula1>
            <xm:f>FAListas!$C$18:$C$28</xm:f>
          </x14:formula1>
          <xm:sqref>C16:C17</xm:sqref>
        </x14:dataValidation>
        <x14:dataValidation type="list" allowBlank="1" showInputMessage="1" showErrorMessage="1" xr:uid="{D278D2F0-7344-4476-9618-63F0152A8AA6}">
          <x14:formula1>
            <xm:f>FAListas!$C$5:$C$14</xm:f>
          </x14:formula1>
          <xm:sqref>C18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B3B48-6120-4E54-8CC1-712C466BA7DD}">
  <sheetPr>
    <tabColor rgb="FF014744"/>
  </sheetPr>
  <dimension ref="A1:V133"/>
  <sheetViews>
    <sheetView showGridLines="0" zoomScale="40" zoomScaleNormal="40" workbookViewId="0">
      <pane ySplit="2" topLeftCell="A3" activePane="bottomLeft" state="frozen"/>
      <selection activeCell="D13" sqref="D13"/>
      <selection pane="bottomLeft" activeCell="G4" sqref="G4:M4"/>
    </sheetView>
  </sheetViews>
  <sheetFormatPr defaultRowHeight="79.900000000000006" customHeight="1" x14ac:dyDescent="0.25"/>
  <cols>
    <col min="1" max="1" width="2.7109375" customWidth="1"/>
    <col min="2" max="2" width="3.7109375" customWidth="1"/>
    <col min="3" max="3" width="50.28515625" customWidth="1"/>
    <col min="4" max="4" width="21.7109375" customWidth="1"/>
    <col min="5" max="5" width="46" customWidth="1"/>
    <col min="6" max="6" width="47.5703125" customWidth="1"/>
    <col min="7" max="7" width="40.7109375" customWidth="1"/>
    <col min="8" max="8" width="21.85546875" customWidth="1"/>
    <col min="9" max="9" width="30.28515625" customWidth="1"/>
    <col min="10" max="10" width="28.7109375" customWidth="1"/>
    <col min="11" max="11" width="33.85546875" customWidth="1"/>
    <col min="12" max="12" width="32" customWidth="1"/>
    <col min="13" max="13" width="23.7109375" customWidth="1"/>
    <col min="14" max="14" width="40" customWidth="1"/>
    <col min="15" max="15" width="10.85546875" customWidth="1"/>
    <col min="16" max="16" width="12" customWidth="1"/>
    <col min="17" max="17" width="36.28515625" customWidth="1"/>
    <col min="18" max="18" width="5.7109375" customWidth="1"/>
  </cols>
  <sheetData>
    <row r="1" spans="1:22" s="26" customFormat="1" ht="19.899999999999999" customHeight="1" x14ac:dyDescent="0.3"/>
    <row r="2" spans="1:22" s="281" customFormat="1" ht="79.900000000000006" customHeight="1" x14ac:dyDescent="0.25">
      <c r="A2" s="297"/>
      <c r="C2" s="398" t="s">
        <v>484</v>
      </c>
      <c r="D2" s="280"/>
      <c r="E2" s="280"/>
      <c r="F2" s="280"/>
      <c r="G2" s="280"/>
      <c r="H2" s="280"/>
      <c r="I2" s="280"/>
      <c r="J2" s="280"/>
      <c r="K2" s="280"/>
      <c r="L2" s="280"/>
      <c r="M2" s="280"/>
      <c r="N2" s="280"/>
      <c r="O2" s="280"/>
      <c r="P2" s="280"/>
      <c r="Q2" s="280"/>
      <c r="R2" s="280"/>
      <c r="S2" s="280"/>
      <c r="T2" s="280"/>
      <c r="U2" s="280"/>
      <c r="V2" s="280"/>
    </row>
    <row r="3" spans="1:22" ht="19.899999999999999" customHeight="1" x14ac:dyDescent="0.25"/>
    <row r="4" spans="1:22" ht="49.9" customHeight="1" x14ac:dyDescent="0.25">
      <c r="G4" s="1401" t="s">
        <v>634</v>
      </c>
      <c r="H4" s="1402"/>
      <c r="I4" s="1402"/>
      <c r="J4" s="1402"/>
      <c r="K4" s="1402"/>
      <c r="L4" s="1402"/>
      <c r="M4" s="1403"/>
    </row>
    <row r="5" spans="1:22" ht="49.9" customHeight="1" x14ac:dyDescent="0.25">
      <c r="G5" s="1355" t="s">
        <v>1278</v>
      </c>
      <c r="H5" s="1355"/>
      <c r="I5" s="1404" t="s">
        <v>1279</v>
      </c>
      <c r="J5" s="1404"/>
      <c r="K5" s="1404"/>
      <c r="L5" s="1404"/>
      <c r="M5" s="1404"/>
    </row>
    <row r="6" spans="1:22" ht="73.900000000000006" customHeight="1" x14ac:dyDescent="0.25">
      <c r="C6" s="289"/>
      <c r="D6" s="56"/>
      <c r="E6" s="56"/>
      <c r="F6" s="56"/>
      <c r="G6" s="1355" t="s">
        <v>815</v>
      </c>
      <c r="H6" s="1355"/>
      <c r="I6" s="1404" t="s">
        <v>1231</v>
      </c>
      <c r="J6" s="1404"/>
      <c r="K6" s="1404"/>
      <c r="L6" s="1404"/>
      <c r="M6" s="1404"/>
    </row>
    <row r="7" spans="1:22" ht="107.45" customHeight="1" x14ac:dyDescent="0.25">
      <c r="G7" s="1354" t="s">
        <v>642</v>
      </c>
      <c r="H7" s="1355"/>
      <c r="I7" s="1356" t="s">
        <v>1025</v>
      </c>
      <c r="J7" s="1357"/>
      <c r="K7" s="1358"/>
      <c r="L7" s="1359" t="s">
        <v>1024</v>
      </c>
      <c r="M7" s="1360"/>
      <c r="R7" t="s">
        <v>481</v>
      </c>
      <c r="V7" s="46"/>
    </row>
    <row r="8" spans="1:22" ht="114.6" customHeight="1" x14ac:dyDescent="0.4">
      <c r="G8" s="1354" t="s">
        <v>1314</v>
      </c>
      <c r="H8" s="1355"/>
      <c r="I8" s="1356" t="s">
        <v>1315</v>
      </c>
      <c r="J8" s="1357"/>
      <c r="K8" s="1358"/>
      <c r="L8" s="1359" t="s">
        <v>81</v>
      </c>
      <c r="M8" s="1360"/>
      <c r="U8" s="702"/>
    </row>
    <row r="9" spans="1:22" ht="79.900000000000006" customHeight="1" x14ac:dyDescent="0.4">
      <c r="G9" s="1355" t="s">
        <v>828</v>
      </c>
      <c r="H9" s="1355"/>
      <c r="I9" s="1356" t="s">
        <v>1119</v>
      </c>
      <c r="J9" s="1357"/>
      <c r="K9" s="1357"/>
      <c r="L9" s="1399" t="s">
        <v>829</v>
      </c>
      <c r="M9" s="1360"/>
      <c r="U9" s="702"/>
    </row>
    <row r="10" spans="1:22" ht="79.900000000000006" customHeight="1" x14ac:dyDescent="0.4">
      <c r="H10" s="288"/>
      <c r="U10" s="702"/>
    </row>
    <row r="11" spans="1:22" ht="96.6" customHeight="1" x14ac:dyDescent="0.4">
      <c r="H11" s="288"/>
      <c r="U11" s="702"/>
    </row>
    <row r="12" spans="1:22" ht="15" customHeight="1" x14ac:dyDescent="0.25">
      <c r="B12" s="874"/>
      <c r="C12" s="290"/>
      <c r="D12" s="290"/>
      <c r="E12" s="290"/>
      <c r="F12" s="290"/>
      <c r="G12" s="290"/>
      <c r="H12" s="290"/>
      <c r="I12" s="290"/>
      <c r="J12" s="290"/>
      <c r="K12" s="290"/>
      <c r="L12" s="290"/>
      <c r="M12" s="290"/>
      <c r="N12" s="290"/>
      <c r="O12" s="290"/>
      <c r="P12" s="290"/>
      <c r="Q12" s="290"/>
      <c r="R12" s="285"/>
    </row>
    <row r="13" spans="1:22" ht="79.900000000000006" customHeight="1" x14ac:dyDescent="0.25">
      <c r="B13" s="875"/>
      <c r="C13" s="1371" t="s">
        <v>568</v>
      </c>
      <c r="D13" s="1371"/>
      <c r="E13" s="1371"/>
      <c r="F13" s="1371"/>
      <c r="G13" s="1371"/>
      <c r="H13" s="1371"/>
      <c r="I13" s="1371"/>
      <c r="J13" s="1371"/>
      <c r="K13" s="1371"/>
      <c r="L13" s="1371"/>
      <c r="M13" s="1371"/>
      <c r="N13" s="1371"/>
      <c r="O13" s="1371"/>
      <c r="P13" s="1371"/>
      <c r="Q13" s="864"/>
      <c r="R13" s="283"/>
    </row>
    <row r="14" spans="1:22" ht="19.899999999999999" customHeight="1" x14ac:dyDescent="0.25">
      <c r="B14" s="875"/>
      <c r="C14" s="289"/>
      <c r="D14" s="289"/>
      <c r="E14" s="289"/>
      <c r="F14" s="289"/>
      <c r="G14" s="289"/>
      <c r="H14" s="289"/>
      <c r="I14" s="289"/>
      <c r="J14" s="289"/>
      <c r="K14" s="289"/>
      <c r="L14" s="289"/>
      <c r="M14" s="289"/>
      <c r="N14" s="289"/>
      <c r="O14" s="289"/>
      <c r="P14" s="289"/>
      <c r="R14" s="283"/>
    </row>
    <row r="15" spans="1:22" ht="36" x14ac:dyDescent="0.25">
      <c r="B15" s="282"/>
      <c r="C15" s="884" t="s">
        <v>486</v>
      </c>
      <c r="D15" s="865"/>
      <c r="E15" s="865"/>
      <c r="F15" s="865"/>
      <c r="G15" s="865"/>
      <c r="H15" s="865"/>
      <c r="I15" s="865"/>
      <c r="J15" s="865"/>
      <c r="K15" s="865"/>
      <c r="L15" s="865"/>
      <c r="M15" s="865"/>
      <c r="N15" s="865"/>
      <c r="O15" s="865"/>
      <c r="P15" s="865"/>
      <c r="Q15" s="864"/>
      <c r="R15" s="283"/>
    </row>
    <row r="16" spans="1:22" ht="24" customHeight="1" x14ac:dyDescent="0.25">
      <c r="B16" s="282"/>
      <c r="C16" s="92"/>
      <c r="D16" s="92"/>
      <c r="E16" s="92"/>
      <c r="F16" s="92"/>
      <c r="G16" s="92"/>
      <c r="H16" s="54"/>
      <c r="I16" s="54"/>
      <c r="J16" s="207"/>
      <c r="K16" s="48"/>
      <c r="R16" s="283"/>
    </row>
    <row r="17" spans="2:18" ht="49.9" customHeight="1" x14ac:dyDescent="0.25">
      <c r="B17" s="282"/>
      <c r="C17" s="1397"/>
      <c r="D17" s="1397"/>
      <c r="E17" s="893"/>
      <c r="F17" s="893" t="s">
        <v>141</v>
      </c>
      <c r="G17" s="893"/>
      <c r="H17" s="1377" t="s">
        <v>1288</v>
      </c>
      <c r="I17" s="1377"/>
      <c r="J17" s="1377"/>
      <c r="K17" s="1377"/>
      <c r="L17" s="1377"/>
      <c r="M17" s="1372" t="s">
        <v>1289</v>
      </c>
      <c r="N17" s="1372"/>
      <c r="O17" s="1372"/>
      <c r="P17" s="1372"/>
      <c r="Q17" s="1372"/>
      <c r="R17" s="283"/>
    </row>
    <row r="18" spans="2:18" ht="117.6" customHeight="1" x14ac:dyDescent="0.25">
      <c r="B18" s="282"/>
      <c r="C18" s="1367" t="s">
        <v>1287</v>
      </c>
      <c r="D18" s="1368"/>
      <c r="E18" s="894" t="s">
        <v>1300</v>
      </c>
      <c r="F18" s="894" t="s">
        <v>1065</v>
      </c>
      <c r="G18" s="894" t="s">
        <v>1290</v>
      </c>
      <c r="H18" s="895" t="s">
        <v>3</v>
      </c>
      <c r="I18" s="1376" t="s">
        <v>711</v>
      </c>
      <c r="J18" s="1376"/>
      <c r="K18" s="1376" t="s">
        <v>623</v>
      </c>
      <c r="L18" s="1376"/>
      <c r="M18" s="895" t="s">
        <v>3</v>
      </c>
      <c r="N18" s="1376" t="s">
        <v>711</v>
      </c>
      <c r="O18" s="1376"/>
      <c r="P18" s="1376" t="s">
        <v>623</v>
      </c>
      <c r="Q18" s="1376"/>
      <c r="R18" s="283"/>
    </row>
    <row r="19" spans="2:18" ht="79.900000000000006" customHeight="1" x14ac:dyDescent="0.25">
      <c r="B19" s="282"/>
      <c r="C19" s="1392" t="s">
        <v>324</v>
      </c>
      <c r="D19" s="1392"/>
      <c r="E19" s="1101"/>
      <c r="F19" s="1101"/>
      <c r="G19" s="1160" t="s">
        <v>339</v>
      </c>
      <c r="H19" s="896" t="s">
        <v>1134</v>
      </c>
      <c r="I19" s="1373"/>
      <c r="J19" s="1373"/>
      <c r="K19" s="1373" t="s">
        <v>160</v>
      </c>
      <c r="L19" s="1373"/>
      <c r="M19" s="896" t="s">
        <v>1134</v>
      </c>
      <c r="N19" s="1405">
        <v>0</v>
      </c>
      <c r="O19" s="1406"/>
      <c r="P19" s="1405" t="s">
        <v>1286</v>
      </c>
      <c r="Q19" s="1406"/>
      <c r="R19" s="283"/>
    </row>
    <row r="20" spans="2:18" ht="79.900000000000006" customHeight="1" x14ac:dyDescent="0.35">
      <c r="B20" s="295"/>
      <c r="C20" s="1392" t="s">
        <v>320</v>
      </c>
      <c r="D20" s="1392"/>
      <c r="E20" s="1101"/>
      <c r="F20" s="1101"/>
      <c r="G20" s="1152" t="s">
        <v>146</v>
      </c>
      <c r="H20" s="896" t="s">
        <v>1134</v>
      </c>
      <c r="I20" s="1373"/>
      <c r="J20" s="1373"/>
      <c r="K20" s="1373" t="s">
        <v>160</v>
      </c>
      <c r="L20" s="1373"/>
      <c r="M20" s="896" t="s">
        <v>1134</v>
      </c>
      <c r="N20" s="1374"/>
      <c r="O20" s="1375"/>
      <c r="P20" s="1374" t="s">
        <v>160</v>
      </c>
      <c r="Q20" s="1375"/>
      <c r="R20" s="283"/>
    </row>
    <row r="21" spans="2:18" ht="79.900000000000006" customHeight="1" x14ac:dyDescent="0.35">
      <c r="B21" s="295"/>
      <c r="C21" s="1392" t="s">
        <v>327</v>
      </c>
      <c r="D21" s="1392"/>
      <c r="E21" s="1101"/>
      <c r="F21" s="1101"/>
      <c r="G21" s="1160" t="s">
        <v>339</v>
      </c>
      <c r="H21" s="896" t="s">
        <v>1134</v>
      </c>
      <c r="I21" s="1373"/>
      <c r="J21" s="1373"/>
      <c r="K21" s="1373" t="s">
        <v>160</v>
      </c>
      <c r="L21" s="1373"/>
      <c r="M21" s="896" t="s">
        <v>1134</v>
      </c>
      <c r="N21" s="1374"/>
      <c r="O21" s="1375"/>
      <c r="P21" s="1374" t="s">
        <v>160</v>
      </c>
      <c r="Q21" s="1375"/>
      <c r="R21" s="283"/>
    </row>
    <row r="22" spans="2:18" ht="79.900000000000006" customHeight="1" x14ac:dyDescent="0.35">
      <c r="B22" s="295"/>
      <c r="C22" s="1392" t="s">
        <v>337</v>
      </c>
      <c r="D22" s="1392"/>
      <c r="E22" s="1101"/>
      <c r="F22" s="1101"/>
      <c r="G22" s="1160" t="s">
        <v>339</v>
      </c>
      <c r="H22" s="896" t="s">
        <v>1134</v>
      </c>
      <c r="I22" s="1373"/>
      <c r="J22" s="1373"/>
      <c r="K22" s="1373" t="s">
        <v>160</v>
      </c>
      <c r="L22" s="1373"/>
      <c r="M22" s="896" t="s">
        <v>1134</v>
      </c>
      <c r="N22" s="1374"/>
      <c r="O22" s="1375"/>
      <c r="P22" s="1374" t="s">
        <v>160</v>
      </c>
      <c r="Q22" s="1375"/>
      <c r="R22" s="283"/>
    </row>
    <row r="23" spans="2:18" ht="24" customHeight="1" x14ac:dyDescent="0.35">
      <c r="B23" s="295"/>
      <c r="C23" s="867"/>
      <c r="D23" s="868"/>
      <c r="E23" s="869"/>
      <c r="F23" s="870"/>
      <c r="G23" s="870"/>
      <c r="H23" s="868"/>
      <c r="I23" s="869"/>
      <c r="J23" s="869"/>
      <c r="K23" s="870"/>
      <c r="L23" s="870"/>
      <c r="M23" s="871"/>
      <c r="N23" s="871"/>
      <c r="O23" s="871"/>
      <c r="P23" s="871"/>
      <c r="Q23" s="872"/>
      <c r="R23" s="283"/>
    </row>
    <row r="24" spans="2:18" ht="31.5" x14ac:dyDescent="0.35">
      <c r="B24" s="295"/>
      <c r="C24" s="865" t="s">
        <v>491</v>
      </c>
      <c r="D24" s="865"/>
      <c r="E24" s="865"/>
      <c r="F24" s="865"/>
      <c r="G24" s="865"/>
      <c r="H24" s="865"/>
      <c r="I24" s="865"/>
      <c r="J24" s="865"/>
      <c r="K24" s="865"/>
      <c r="L24" s="865"/>
      <c r="M24" s="865"/>
      <c r="N24" s="865"/>
      <c r="O24" s="865"/>
      <c r="P24" s="865"/>
      <c r="Q24" s="892"/>
      <c r="R24" s="283"/>
    </row>
    <row r="25" spans="2:18" ht="24" customHeight="1" x14ac:dyDescent="0.25">
      <c r="B25" s="282"/>
      <c r="C25" s="87"/>
      <c r="D25" s="88"/>
      <c r="E25" s="88"/>
      <c r="F25" s="88"/>
      <c r="G25" s="88"/>
      <c r="H25" s="54"/>
      <c r="I25" s="54"/>
      <c r="R25" s="283"/>
    </row>
    <row r="26" spans="2:18" ht="49.9" customHeight="1" x14ac:dyDescent="0.25">
      <c r="B26" s="282"/>
      <c r="C26" s="901"/>
      <c r="D26" s="1390" t="s">
        <v>671</v>
      </c>
      <c r="E26" s="1390"/>
      <c r="F26" s="1390"/>
      <c r="G26" s="1390"/>
      <c r="H26" s="1391" t="s">
        <v>673</v>
      </c>
      <c r="I26" s="1391"/>
      <c r="J26" s="1391"/>
      <c r="K26" s="1391"/>
      <c r="R26" s="283"/>
    </row>
    <row r="27" spans="2:18" ht="79.900000000000006" customHeight="1" x14ac:dyDescent="0.25">
      <c r="B27" s="282"/>
      <c r="C27" s="902" t="s">
        <v>1291</v>
      </c>
      <c r="D27" s="1162" t="s">
        <v>3</v>
      </c>
      <c r="E27" s="1163" t="s">
        <v>1030</v>
      </c>
      <c r="F27" s="1163" t="s">
        <v>1026</v>
      </c>
      <c r="G27" s="1163" t="s">
        <v>1027</v>
      </c>
      <c r="H27" s="1162" t="s">
        <v>3</v>
      </c>
      <c r="I27" s="1163" t="s">
        <v>504</v>
      </c>
      <c r="J27" s="1163" t="s">
        <v>1028</v>
      </c>
      <c r="K27" s="1163" t="s">
        <v>1029</v>
      </c>
      <c r="R27" s="283"/>
    </row>
    <row r="28" spans="2:18" ht="79.900000000000006" customHeight="1" x14ac:dyDescent="0.25">
      <c r="B28" s="282"/>
      <c r="C28" s="1150" t="s">
        <v>324</v>
      </c>
      <c r="D28" s="896" t="s">
        <v>681</v>
      </c>
      <c r="E28" s="1164">
        <f>IFERROR(F28-G28,"")</f>
        <v>0</v>
      </c>
      <c r="F28" s="1164">
        <f>IFERROR((E19*F19*N19)/1000,"")</f>
        <v>0</v>
      </c>
      <c r="G28" s="1164">
        <f>IFERROR((E19*F19*I19)/1000,"")</f>
        <v>0</v>
      </c>
      <c r="H28" s="896" t="s">
        <v>681</v>
      </c>
      <c r="I28" s="1164">
        <f>IFERROR(J28-K28,"")</f>
        <v>0</v>
      </c>
      <c r="J28" s="1164">
        <f>IFERROR((F28+((E19*F19*'Fatores de Emissão'!C54))/1000),"")</f>
        <v>0</v>
      </c>
      <c r="K28" s="1164">
        <f>IFERROR(G28+((E19*F19*'Fatores de Emissão'!$G$14)/1000),"")</f>
        <v>0</v>
      </c>
      <c r="R28" s="283"/>
    </row>
    <row r="29" spans="2:18" ht="70.150000000000006" customHeight="1" x14ac:dyDescent="0.25">
      <c r="B29" s="282"/>
      <c r="C29" s="1150" t="s">
        <v>320</v>
      </c>
      <c r="D29" s="896" t="s">
        <v>681</v>
      </c>
      <c r="E29" s="1164">
        <f>IFERROR(F29-G29,"")</f>
        <v>0</v>
      </c>
      <c r="F29" s="1164">
        <f>IFERROR((E20*F20*N20)/1000,"")</f>
        <v>0</v>
      </c>
      <c r="G29" s="1164">
        <f>IFERROR((E20*F20*I20)/1000,"")</f>
        <v>0</v>
      </c>
      <c r="H29" s="896" t="s">
        <v>681</v>
      </c>
      <c r="I29" s="1164">
        <f>IFERROR(J29-K29,"")</f>
        <v>0</v>
      </c>
      <c r="J29" s="1164">
        <f>IFERROR((F29+((E20*F20*'Fatores de Emissão'!G14)/1000)),"")</f>
        <v>0</v>
      </c>
      <c r="K29" s="1164">
        <f>IFERROR(IF(G20=FAListas!C68,G29+((E20*F20*'Fatores de Emissão'!$G$14)/1000),IF('IC_todos os projetos'!G20=FAListas!C69,G29+((E20*F20*'Fatores de Emissão'!$C$54)/1000),IF(G20=FAListas!C67,0,""))),"")</f>
        <v>0</v>
      </c>
      <c r="R29" s="283"/>
    </row>
    <row r="30" spans="2:18" ht="70.150000000000006" customHeight="1" x14ac:dyDescent="0.25">
      <c r="B30" s="282"/>
      <c r="C30" s="1150" t="s">
        <v>327</v>
      </c>
      <c r="D30" s="896" t="s">
        <v>681</v>
      </c>
      <c r="E30" s="1164">
        <f>IFERROR(F30-G30,"")</f>
        <v>0</v>
      </c>
      <c r="F30" s="1164">
        <f>IFERROR((E21*F21*N21)/1000,"")</f>
        <v>0</v>
      </c>
      <c r="G30" s="1164">
        <f>IFERROR((E21*F21*I21)/1000,"")</f>
        <v>0</v>
      </c>
      <c r="H30" s="896" t="s">
        <v>681</v>
      </c>
      <c r="I30" s="1164">
        <f>IFERROR(J30-K30,"")</f>
        <v>0</v>
      </c>
      <c r="J30" s="1164">
        <f>IFERROR((F30+((E21*F21*'Fatores de Emissão'!$G$13))/1000),"")</f>
        <v>0</v>
      </c>
      <c r="K30" s="1164">
        <f>IFERROR((G30+((E21*F21*'Fatores de Emissão'!$G$13))/1000),"")</f>
        <v>0</v>
      </c>
      <c r="R30" s="283"/>
    </row>
    <row r="31" spans="2:18" ht="70.150000000000006" customHeight="1" x14ac:dyDescent="0.25">
      <c r="B31" s="282"/>
      <c r="C31" s="1150" t="s">
        <v>337</v>
      </c>
      <c r="D31" s="896" t="s">
        <v>681</v>
      </c>
      <c r="E31" s="1164">
        <f>IFERROR(F31-G31,"")</f>
        <v>0</v>
      </c>
      <c r="F31" s="1164">
        <f>IFERROR((E22*F22*N22)/1000,"")</f>
        <v>0</v>
      </c>
      <c r="G31" s="1164">
        <f>IFERROR((E22*F22*I22)/1000,"")</f>
        <v>0</v>
      </c>
      <c r="H31" s="896" t="s">
        <v>681</v>
      </c>
      <c r="I31" s="1164">
        <f>IFERROR(J31-K31,"")</f>
        <v>0</v>
      </c>
      <c r="J31" s="1164">
        <f>IFERROR(F31+((E22*F22*'Fatores de Emissão'!$G$11)/1000),"")</f>
        <v>0</v>
      </c>
      <c r="K31" s="1164">
        <f>IFERROR((G31+((E22*F22*'Fatores de Emissão'!$G$11))/1000),"")</f>
        <v>0</v>
      </c>
      <c r="R31" s="283"/>
    </row>
    <row r="32" spans="2:18" ht="19.899999999999999" customHeight="1" x14ac:dyDescent="0.25">
      <c r="B32" s="282"/>
      <c r="C32" s="873"/>
      <c r="D32" s="307"/>
      <c r="E32" s="1165"/>
      <c r="F32" s="1165"/>
      <c r="G32" s="1165"/>
      <c r="H32" s="307"/>
      <c r="I32" s="1165"/>
      <c r="J32" s="1165"/>
      <c r="K32" s="1165"/>
      <c r="R32" s="283"/>
    </row>
    <row r="33" spans="1:18" ht="60" customHeight="1" x14ac:dyDescent="0.25">
      <c r="B33" s="282"/>
      <c r="C33" s="905" t="s">
        <v>710</v>
      </c>
      <c r="D33" s="896" t="s">
        <v>681</v>
      </c>
      <c r="E33" s="899">
        <f>IFERROR(F33-G33,"")</f>
        <v>0</v>
      </c>
      <c r="F33" s="903">
        <f>IFERROR(SUM(F28:F31),"")</f>
        <v>0</v>
      </c>
      <c r="G33" s="904">
        <f>IFERROR(SUM(G28:G31),"")</f>
        <v>0</v>
      </c>
      <c r="H33" s="896" t="s">
        <v>681</v>
      </c>
      <c r="I33" s="899">
        <f>IFERROR(J33-K33,"")</f>
        <v>0</v>
      </c>
      <c r="J33" s="903">
        <f>IFERROR(SUM(J28:J31),"")</f>
        <v>0</v>
      </c>
      <c r="K33" s="904">
        <f>IFERROR(SUM(K28:K31),"")</f>
        <v>0</v>
      </c>
      <c r="R33" s="283"/>
    </row>
    <row r="34" spans="1:18" ht="60" customHeight="1" x14ac:dyDescent="0.25">
      <c r="B34" s="282"/>
      <c r="C34" s="905" t="s">
        <v>707</v>
      </c>
      <c r="D34" s="896" t="s">
        <v>681</v>
      </c>
      <c r="E34" s="899">
        <f>-E33</f>
        <v>0</v>
      </c>
      <c r="F34" s="1166"/>
      <c r="G34" s="1167"/>
      <c r="H34" s="1167"/>
      <c r="I34" s="1167"/>
      <c r="J34" s="1167"/>
      <c r="K34" s="1168"/>
      <c r="R34" s="283"/>
    </row>
    <row r="35" spans="1:18" ht="15" customHeight="1" x14ac:dyDescent="0.25">
      <c r="B35" s="467"/>
      <c r="C35" s="876"/>
      <c r="D35" s="877"/>
      <c r="E35" s="878"/>
      <c r="F35" s="878"/>
      <c r="G35" s="878"/>
      <c r="H35" s="879"/>
      <c r="I35" s="878"/>
      <c r="J35" s="878"/>
      <c r="K35" s="878"/>
      <c r="L35" s="880"/>
      <c r="M35" s="880"/>
      <c r="N35" s="880"/>
      <c r="O35" s="880"/>
      <c r="P35" s="880"/>
      <c r="Q35" s="880"/>
      <c r="R35" s="881"/>
    </row>
    <row r="36" spans="1:18" ht="70.150000000000006" customHeight="1" x14ac:dyDescent="0.25">
      <c r="C36" s="861"/>
      <c r="D36" s="307"/>
      <c r="E36" s="862"/>
      <c r="F36" s="862"/>
      <c r="G36" s="862"/>
      <c r="H36" s="863"/>
      <c r="I36" s="862"/>
      <c r="J36" s="862"/>
      <c r="K36" s="862"/>
    </row>
    <row r="37" spans="1:18" ht="15" customHeight="1" x14ac:dyDescent="0.25">
      <c r="B37" s="874"/>
      <c r="C37" s="290"/>
      <c r="D37" s="290"/>
      <c r="E37" s="290"/>
      <c r="F37" s="290"/>
      <c r="G37" s="290"/>
      <c r="H37" s="290"/>
      <c r="I37" s="290"/>
      <c r="J37" s="290"/>
      <c r="K37" s="290"/>
      <c r="L37" s="290"/>
      <c r="M37" s="290"/>
      <c r="N37" s="290"/>
      <c r="O37" s="290"/>
      <c r="P37" s="290"/>
      <c r="Q37" s="290"/>
      <c r="R37" s="285"/>
    </row>
    <row r="38" spans="1:18" ht="79.900000000000006" customHeight="1" x14ac:dyDescent="0.25">
      <c r="A38" s="282"/>
      <c r="B38" s="875"/>
      <c r="C38" s="1371" t="s">
        <v>690</v>
      </c>
      <c r="D38" s="1371"/>
      <c r="E38" s="1371"/>
      <c r="F38" s="1371"/>
      <c r="G38" s="1371"/>
      <c r="H38" s="1371"/>
      <c r="I38" s="1371"/>
      <c r="J38" s="1371"/>
      <c r="K38" s="1371"/>
      <c r="L38" s="1371"/>
      <c r="M38" s="1371"/>
      <c r="N38" s="1371"/>
      <c r="O38" s="1371"/>
      <c r="P38" s="1371"/>
      <c r="Q38" s="1371"/>
      <c r="R38" s="283"/>
    </row>
    <row r="39" spans="1:18" ht="30" customHeight="1" x14ac:dyDescent="0.3">
      <c r="A39" s="282"/>
      <c r="B39" s="282"/>
      <c r="C39" s="1389"/>
      <c r="D39" s="1389"/>
      <c r="E39" s="1389"/>
      <c r="F39" s="882"/>
      <c r="G39" s="882"/>
      <c r="H39" s="54"/>
      <c r="I39" s="54"/>
      <c r="J39" s="883"/>
      <c r="K39" s="55"/>
      <c r="R39" s="283"/>
    </row>
    <row r="40" spans="1:18" ht="36" x14ac:dyDescent="0.25">
      <c r="A40" s="282"/>
      <c r="B40" s="282"/>
      <c r="C40" s="884" t="s">
        <v>506</v>
      </c>
      <c r="D40" s="865"/>
      <c r="E40" s="865"/>
      <c r="F40" s="865"/>
      <c r="G40" s="865"/>
      <c r="H40" s="865"/>
      <c r="I40" s="865"/>
      <c r="J40" s="865"/>
      <c r="K40" s="865"/>
      <c r="L40" s="865"/>
      <c r="M40" s="865"/>
      <c r="N40" s="1396"/>
      <c r="O40" s="1396"/>
      <c r="P40" s="1396"/>
      <c r="Q40" s="1396"/>
      <c r="R40" s="283"/>
    </row>
    <row r="41" spans="1:18" ht="24" customHeight="1" x14ac:dyDescent="0.25">
      <c r="A41" s="282"/>
      <c r="B41" s="282"/>
      <c r="C41" s="92"/>
      <c r="D41" s="92"/>
      <c r="E41" s="92"/>
      <c r="F41" s="92"/>
      <c r="G41" s="92"/>
      <c r="H41" s="54"/>
      <c r="I41" s="54"/>
      <c r="J41" s="207"/>
      <c r="K41" s="48"/>
      <c r="R41" s="283"/>
    </row>
    <row r="42" spans="1:18" ht="49.9" customHeight="1" x14ac:dyDescent="0.25">
      <c r="A42" s="282"/>
      <c r="B42" s="282"/>
      <c r="C42" s="1397"/>
      <c r="D42" s="1397"/>
      <c r="E42" s="893"/>
      <c r="F42" s="893" t="s">
        <v>141</v>
      </c>
      <c r="G42" s="893"/>
      <c r="H42" s="1377" t="s">
        <v>1288</v>
      </c>
      <c r="I42" s="1377"/>
      <c r="J42" s="1377"/>
      <c r="K42" s="1377"/>
      <c r="L42" s="1377"/>
      <c r="M42" s="1372" t="s">
        <v>1289</v>
      </c>
      <c r="N42" s="1372"/>
      <c r="O42" s="1372"/>
      <c r="P42" s="1372"/>
      <c r="Q42" s="1372"/>
      <c r="R42" s="283"/>
    </row>
    <row r="43" spans="1:18" ht="105.6" customHeight="1" x14ac:dyDescent="0.25">
      <c r="A43" s="282"/>
      <c r="B43" s="282"/>
      <c r="C43" s="1367" t="s">
        <v>1292</v>
      </c>
      <c r="D43" s="1368"/>
      <c r="E43" s="894" t="s">
        <v>1299</v>
      </c>
      <c r="F43" s="894" t="s">
        <v>315</v>
      </c>
      <c r="G43" s="894" t="s">
        <v>1290</v>
      </c>
      <c r="H43" s="895" t="s">
        <v>3</v>
      </c>
      <c r="I43" s="1376" t="s">
        <v>711</v>
      </c>
      <c r="J43" s="1376"/>
      <c r="K43" s="1376" t="s">
        <v>623</v>
      </c>
      <c r="L43" s="1376"/>
      <c r="M43" s="895" t="s">
        <v>3</v>
      </c>
      <c r="N43" s="1376" t="s">
        <v>711</v>
      </c>
      <c r="O43" s="1376"/>
      <c r="P43" s="1376" t="s">
        <v>1268</v>
      </c>
      <c r="Q43" s="1376"/>
      <c r="R43" s="283"/>
    </row>
    <row r="44" spans="1:18" s="296" customFormat="1" ht="79.900000000000006" customHeight="1" x14ac:dyDescent="0.35">
      <c r="A44" s="295"/>
      <c r="B44" s="295"/>
      <c r="C44" s="1394" t="s">
        <v>1066</v>
      </c>
      <c r="D44" s="1395"/>
      <c r="E44" s="1101"/>
      <c r="F44" s="1101"/>
      <c r="G44" s="1152" t="s">
        <v>146</v>
      </c>
      <c r="H44" s="896" t="s">
        <v>1134</v>
      </c>
      <c r="I44" s="1374"/>
      <c r="J44" s="1375"/>
      <c r="K44" s="1374" t="s">
        <v>160</v>
      </c>
      <c r="L44" s="1375"/>
      <c r="M44" s="896" t="s">
        <v>1134</v>
      </c>
      <c r="N44" s="1373"/>
      <c r="O44" s="1373"/>
      <c r="P44" s="1374" t="s">
        <v>160</v>
      </c>
      <c r="Q44" s="1375"/>
      <c r="R44" s="886"/>
    </row>
    <row r="45" spans="1:18" s="296" customFormat="1" ht="79.900000000000006" customHeight="1" x14ac:dyDescent="0.35">
      <c r="A45" s="295"/>
      <c r="B45" s="295"/>
      <c r="C45" s="1394" t="s">
        <v>1067</v>
      </c>
      <c r="D45" s="1395"/>
      <c r="E45" s="1101"/>
      <c r="F45" s="1101"/>
      <c r="G45" s="1152" t="s">
        <v>146</v>
      </c>
      <c r="H45" s="896" t="s">
        <v>1134</v>
      </c>
      <c r="I45" s="1374"/>
      <c r="J45" s="1375"/>
      <c r="K45" s="1373" t="s">
        <v>160</v>
      </c>
      <c r="L45" s="1373"/>
      <c r="M45" s="896" t="s">
        <v>1134</v>
      </c>
      <c r="N45" s="1374"/>
      <c r="O45" s="1375"/>
      <c r="P45" s="1373" t="s">
        <v>160</v>
      </c>
      <c r="Q45" s="1373"/>
      <c r="R45" s="1400"/>
    </row>
    <row r="46" spans="1:18" s="296" customFormat="1" ht="79.900000000000006" customHeight="1" x14ac:dyDescent="0.35">
      <c r="A46" s="295"/>
      <c r="B46" s="295"/>
      <c r="C46" s="1394" t="s">
        <v>1068</v>
      </c>
      <c r="D46" s="1395"/>
      <c r="E46" s="1101"/>
      <c r="F46" s="1101"/>
      <c r="G46" s="1152" t="s">
        <v>146</v>
      </c>
      <c r="H46" s="896" t="s">
        <v>1134</v>
      </c>
      <c r="I46" s="1374"/>
      <c r="J46" s="1375"/>
      <c r="K46" s="1373" t="s">
        <v>160</v>
      </c>
      <c r="L46" s="1373"/>
      <c r="M46" s="896" t="s">
        <v>1134</v>
      </c>
      <c r="N46" s="1373"/>
      <c r="O46" s="1373"/>
      <c r="P46" s="1373" t="s">
        <v>160</v>
      </c>
      <c r="Q46" s="1373"/>
      <c r="R46" s="1400"/>
    </row>
    <row r="47" spans="1:18" s="296" customFormat="1" ht="79.900000000000006" customHeight="1" x14ac:dyDescent="0.35">
      <c r="A47" s="295"/>
      <c r="B47" s="295"/>
      <c r="C47" s="1394" t="s">
        <v>1070</v>
      </c>
      <c r="D47" s="1395"/>
      <c r="E47" s="1101"/>
      <c r="F47" s="1101"/>
      <c r="G47" s="1152" t="s">
        <v>146</v>
      </c>
      <c r="H47" s="896" t="s">
        <v>1134</v>
      </c>
      <c r="I47" s="1374"/>
      <c r="J47" s="1375"/>
      <c r="K47" s="1373" t="s">
        <v>160</v>
      </c>
      <c r="L47" s="1373"/>
      <c r="M47" s="896" t="s">
        <v>1134</v>
      </c>
      <c r="N47" s="1373"/>
      <c r="O47" s="1373"/>
      <c r="P47" s="1373" t="s">
        <v>160</v>
      </c>
      <c r="Q47" s="1373"/>
      <c r="R47" s="1400"/>
    </row>
    <row r="48" spans="1:18" s="296" customFormat="1" ht="79.900000000000006" customHeight="1" x14ac:dyDescent="0.35">
      <c r="A48" s="295"/>
      <c r="B48" s="295"/>
      <c r="C48" s="1394" t="s">
        <v>1069</v>
      </c>
      <c r="D48" s="1395"/>
      <c r="E48" s="1101"/>
      <c r="F48" s="1101"/>
      <c r="G48" s="1152" t="s">
        <v>146</v>
      </c>
      <c r="H48" s="896" t="s">
        <v>1134</v>
      </c>
      <c r="I48" s="1374"/>
      <c r="J48" s="1375"/>
      <c r="K48" s="1373" t="s">
        <v>160</v>
      </c>
      <c r="L48" s="1373"/>
      <c r="M48" s="896" t="s">
        <v>1134</v>
      </c>
      <c r="N48" s="1373"/>
      <c r="O48" s="1373"/>
      <c r="P48" s="1373" t="s">
        <v>160</v>
      </c>
      <c r="Q48" s="1373"/>
      <c r="R48" s="887"/>
    </row>
    <row r="49" spans="1:18" s="296" customFormat="1" ht="79.900000000000006" customHeight="1" x14ac:dyDescent="0.35">
      <c r="A49" s="295"/>
      <c r="B49" s="295"/>
      <c r="C49" s="1394" t="s">
        <v>1071</v>
      </c>
      <c r="D49" s="1395"/>
      <c r="E49" s="1101"/>
      <c r="F49" s="1101"/>
      <c r="G49" s="1152" t="s">
        <v>146</v>
      </c>
      <c r="H49" s="896" t="s">
        <v>1134</v>
      </c>
      <c r="I49" s="1374"/>
      <c r="J49" s="1375"/>
      <c r="K49" s="1373" t="s">
        <v>160</v>
      </c>
      <c r="L49" s="1373"/>
      <c r="M49" s="896" t="s">
        <v>1134</v>
      </c>
      <c r="N49" s="1373"/>
      <c r="O49" s="1373"/>
      <c r="P49" s="1373" t="s">
        <v>160</v>
      </c>
      <c r="Q49" s="1373"/>
      <c r="R49" s="887"/>
    </row>
    <row r="50" spans="1:18" s="296" customFormat="1" ht="24" customHeight="1" x14ac:dyDescent="0.35">
      <c r="B50" s="295"/>
      <c r="C50" s="867"/>
      <c r="D50" s="868"/>
      <c r="E50" s="869"/>
      <c r="F50" s="870"/>
      <c r="G50" s="870"/>
      <c r="H50" s="868"/>
      <c r="I50" s="869"/>
      <c r="J50" s="869"/>
      <c r="K50" s="870"/>
      <c r="L50" s="870"/>
      <c r="M50" s="871"/>
      <c r="N50" s="871"/>
      <c r="O50" s="871"/>
      <c r="P50" s="871"/>
      <c r="Q50" s="872"/>
      <c r="R50" s="887"/>
    </row>
    <row r="51" spans="1:18" s="296" customFormat="1" ht="36" x14ac:dyDescent="0.35">
      <c r="B51" s="295"/>
      <c r="C51" s="884" t="s">
        <v>510</v>
      </c>
      <c r="D51" s="865"/>
      <c r="E51" s="865"/>
      <c r="F51" s="865"/>
      <c r="G51" s="865"/>
      <c r="H51" s="865"/>
      <c r="I51" s="865"/>
      <c r="J51" s="865"/>
      <c r="K51" s="865"/>
      <c r="L51" s="865"/>
      <c r="M51" s="865"/>
      <c r="N51" s="865"/>
      <c r="O51" s="865"/>
      <c r="P51" s="1396"/>
      <c r="Q51" s="1396"/>
      <c r="R51" s="887"/>
    </row>
    <row r="52" spans="1:18" ht="24" customHeight="1" x14ac:dyDescent="0.25">
      <c r="B52" s="282"/>
      <c r="C52" s="87"/>
      <c r="D52" s="88"/>
      <c r="E52" s="88"/>
      <c r="F52" s="88"/>
      <c r="G52" s="88"/>
      <c r="H52" s="54"/>
      <c r="I52" s="54"/>
      <c r="R52" s="283"/>
    </row>
    <row r="53" spans="1:18" ht="49.9" customHeight="1" x14ac:dyDescent="0.25">
      <c r="B53" s="282"/>
      <c r="C53" s="901"/>
      <c r="D53" s="1390" t="s">
        <v>671</v>
      </c>
      <c r="E53" s="1390"/>
      <c r="F53" s="1390"/>
      <c r="G53" s="1390"/>
      <c r="H53" s="1391" t="s">
        <v>673</v>
      </c>
      <c r="I53" s="1391"/>
      <c r="J53" s="1391"/>
      <c r="K53" s="1391"/>
      <c r="R53" s="283"/>
    </row>
    <row r="54" spans="1:18" ht="79.900000000000006" customHeight="1" x14ac:dyDescent="0.25">
      <c r="B54" s="282"/>
      <c r="C54" s="1161" t="s">
        <v>708</v>
      </c>
      <c r="D54" s="1162" t="s">
        <v>3</v>
      </c>
      <c r="E54" s="1163" t="s">
        <v>1030</v>
      </c>
      <c r="F54" s="1163" t="s">
        <v>1026</v>
      </c>
      <c r="G54" s="1163" t="s">
        <v>1027</v>
      </c>
      <c r="H54" s="1162" t="s">
        <v>3</v>
      </c>
      <c r="I54" s="1163" t="s">
        <v>504</v>
      </c>
      <c r="J54" s="1163" t="s">
        <v>1028</v>
      </c>
      <c r="K54" s="1163" t="s">
        <v>1029</v>
      </c>
      <c r="R54" s="283"/>
    </row>
    <row r="55" spans="1:18" ht="70.150000000000006" customHeight="1" x14ac:dyDescent="0.25">
      <c r="B55" s="282"/>
      <c r="C55" s="1172" t="s">
        <v>1066</v>
      </c>
      <c r="D55" s="896" t="s">
        <v>681</v>
      </c>
      <c r="E55" s="1164">
        <f t="shared" ref="E55:E60" si="0">IFERROR(F55-G55,"")</f>
        <v>0</v>
      </c>
      <c r="F55" s="1164">
        <f t="shared" ref="F55:F60" si="1">IFERROR((E44*F44*N44)/1000,"")</f>
        <v>0</v>
      </c>
      <c r="G55" s="1164">
        <f t="shared" ref="G55:G60" si="2">IFERROR((E44*F44*I44)/1000,"")</f>
        <v>0</v>
      </c>
      <c r="H55" s="896" t="s">
        <v>681</v>
      </c>
      <c r="I55" s="1164">
        <f t="shared" ref="I55:I60" si="3">IFERROR(J55-K55,"")</f>
        <v>0</v>
      </c>
      <c r="J55" s="1164">
        <f>IFERROR((F55+(E44*F44*'Fatores de Emissão'!G15))/1000,"")</f>
        <v>0</v>
      </c>
      <c r="K55" s="1164">
        <f>IFERROR(IF(G$44=FAListas!C$65,G55+((E$44*F$44*'Fatores de Emissão'!$G$15)/1000),IF(G$44=FAListas!C$66, G55+((E44*F44*'Fatores de Emissão'!I71)/1000),IF(G$44=FAListas!C$64,0,""))),"")</f>
        <v>0</v>
      </c>
      <c r="R55" s="283"/>
    </row>
    <row r="56" spans="1:18" ht="70.150000000000006" customHeight="1" x14ac:dyDescent="0.25">
      <c r="B56" s="282"/>
      <c r="C56" s="1172" t="s">
        <v>1067</v>
      </c>
      <c r="D56" s="896" t="s">
        <v>681</v>
      </c>
      <c r="E56" s="1164">
        <f t="shared" si="0"/>
        <v>0</v>
      </c>
      <c r="F56" s="1164">
        <f t="shared" si="1"/>
        <v>0</v>
      </c>
      <c r="G56" s="1164">
        <f t="shared" si="2"/>
        <v>0</v>
      </c>
      <c r="H56" s="896" t="s">
        <v>681</v>
      </c>
      <c r="I56" s="1164">
        <f t="shared" si="3"/>
        <v>0</v>
      </c>
      <c r="J56" s="1164">
        <f>IFERROR((F56+(E45*F45*'Fatores de Emissão'!I71))/1000,"")</f>
        <v>0</v>
      </c>
      <c r="K56" s="1164">
        <f>IFERROR(IF(G45=FAListas!C$65,G56+((E45*F45*'Fatores de Emissão'!$G$15)/1000),IF(G45=FAListas!C$66, G56+((E45*F45*'Fatores de Emissão'!I71)/1000),IF(G$45=FAListas!C$64,0,""))),"")</f>
        <v>0</v>
      </c>
      <c r="R56" s="283"/>
    </row>
    <row r="57" spans="1:18" ht="70.150000000000006" customHeight="1" x14ac:dyDescent="0.25">
      <c r="B57" s="282"/>
      <c r="C57" s="1172" t="s">
        <v>1068</v>
      </c>
      <c r="D57" s="896" t="s">
        <v>681</v>
      </c>
      <c r="E57" s="1164">
        <f t="shared" si="0"/>
        <v>0</v>
      </c>
      <c r="F57" s="1164">
        <f t="shared" si="1"/>
        <v>0</v>
      </c>
      <c r="G57" s="1164">
        <f t="shared" si="2"/>
        <v>0</v>
      </c>
      <c r="H57" s="896" t="s">
        <v>681</v>
      </c>
      <c r="I57" s="1164">
        <f t="shared" si="3"/>
        <v>0</v>
      </c>
      <c r="J57" s="1164">
        <f>IFERROR((F57+(E46*F46*'Fatores de Emissão'!G20))/1000,"")</f>
        <v>0</v>
      </c>
      <c r="K57" s="1164">
        <f>IFERROR(IF(G46=FAListas!C$65,G57+((E46*F46*'Fatores de Emissão'!$G$20)/1000),IF(G46=FAListas!C$66, (G57+(E46*F46*'Fatores de Emissão'!I61)/1000),IF(G$46=FAListas!C$64,0,""))),"")</f>
        <v>0</v>
      </c>
      <c r="R57" s="283"/>
    </row>
    <row r="58" spans="1:18" ht="70.150000000000006" customHeight="1" x14ac:dyDescent="0.25">
      <c r="B58" s="282"/>
      <c r="C58" s="1172" t="s">
        <v>1070</v>
      </c>
      <c r="D58" s="896" t="s">
        <v>681</v>
      </c>
      <c r="E58" s="1164">
        <f t="shared" si="0"/>
        <v>0</v>
      </c>
      <c r="F58" s="1164">
        <f t="shared" si="1"/>
        <v>0</v>
      </c>
      <c r="G58" s="1164">
        <f t="shared" si="2"/>
        <v>0</v>
      </c>
      <c r="H58" s="896" t="s">
        <v>681</v>
      </c>
      <c r="I58" s="1164">
        <f t="shared" si="3"/>
        <v>0</v>
      </c>
      <c r="J58" s="1164">
        <f>IFERROR((F58+(E47*F47*'Fatores de Emissão'!I61))/1000,"")</f>
        <v>0</v>
      </c>
      <c r="K58" s="1164">
        <f>IFERROR(IF(G47=FAListas!C$65,G58+((E47*F47*'Fatores de Emissão'!$G$20)/1000),IF(G47=FAListas!C$66, G58+((E47*F47*'Fatores de Emissão'!I61)/1000),IF(G$47=FAListas!C$64,0,""))),"")</f>
        <v>0</v>
      </c>
      <c r="R58" s="283"/>
    </row>
    <row r="59" spans="1:18" ht="75" customHeight="1" x14ac:dyDescent="0.25">
      <c r="B59" s="282"/>
      <c r="C59" s="1172" t="s">
        <v>1069</v>
      </c>
      <c r="D59" s="896" t="s">
        <v>681</v>
      </c>
      <c r="E59" s="1164">
        <f t="shared" si="0"/>
        <v>0</v>
      </c>
      <c r="F59" s="1164">
        <f t="shared" si="1"/>
        <v>0</v>
      </c>
      <c r="G59" s="1164">
        <f t="shared" si="2"/>
        <v>0</v>
      </c>
      <c r="H59" s="896" t="s">
        <v>681</v>
      </c>
      <c r="I59" s="1164">
        <f t="shared" si="3"/>
        <v>0</v>
      </c>
      <c r="J59" s="1164">
        <f>IFERROR((F59+(E48*F48*'Fatores de Emissão'!G30))/1000,"")</f>
        <v>0</v>
      </c>
      <c r="K59" s="1164">
        <f>IFERROR(IF(G48=FAListas!C$65,G59+((E48*F48*'Fatores de Emissão'!$G$30)/1000),IF(G48=FAListas!C$66, G59+((E48*F48*'Fatores de Emissão'!I83*22)/1000),IF(G$44=FAListas!C$64,0,""))),"")</f>
        <v>0</v>
      </c>
      <c r="R59" s="283"/>
    </row>
    <row r="60" spans="1:18" ht="75" customHeight="1" x14ac:dyDescent="0.25">
      <c r="B60" s="282"/>
      <c r="C60" s="1172" t="s">
        <v>1071</v>
      </c>
      <c r="D60" s="896" t="s">
        <v>681</v>
      </c>
      <c r="E60" s="1164">
        <f t="shared" si="0"/>
        <v>0</v>
      </c>
      <c r="F60" s="1164">
        <f t="shared" si="1"/>
        <v>0</v>
      </c>
      <c r="G60" s="1164">
        <f t="shared" si="2"/>
        <v>0</v>
      </c>
      <c r="H60" s="896" t="s">
        <v>681</v>
      </c>
      <c r="I60" s="1164">
        <f t="shared" si="3"/>
        <v>0</v>
      </c>
      <c r="J60" s="1164">
        <f>IFERROR((F60+(E49*F49*'Fatores de Emissão'!I83*22))/1000,"")</f>
        <v>0</v>
      </c>
      <c r="K60" s="1164">
        <f>IFERROR(IF(G49=FAListas!C$65,G60+((E49*F49*'Fatores de Emissão'!$G$30)/1000),IF(G49=FAListas!C$66, G60+((E49*F49*'Fatores de Emissão'!I83*22)/1000),IF(G$44=FAListas!C$64,0,""))),"")</f>
        <v>0</v>
      </c>
      <c r="R60" s="283"/>
    </row>
    <row r="61" spans="1:18" ht="19.899999999999999" customHeight="1" x14ac:dyDescent="0.25">
      <c r="B61" s="282"/>
      <c r="C61" s="873"/>
      <c r="D61" s="307"/>
      <c r="E61" s="885"/>
      <c r="F61" s="885"/>
      <c r="G61" s="885"/>
      <c r="H61" s="602"/>
      <c r="I61" s="885"/>
      <c r="J61" s="885"/>
      <c r="K61" s="885"/>
      <c r="R61" s="283"/>
    </row>
    <row r="62" spans="1:18" ht="70.150000000000006" customHeight="1" x14ac:dyDescent="0.25">
      <c r="B62" s="282"/>
      <c r="C62" s="905" t="s">
        <v>710</v>
      </c>
      <c r="D62" s="896" t="s">
        <v>681</v>
      </c>
      <c r="E62" s="899">
        <f>IFERROR(F62-G62,"")</f>
        <v>0</v>
      </c>
      <c r="F62" s="903">
        <f>IFERROR(SUM(F55:F60),"")</f>
        <v>0</v>
      </c>
      <c r="G62" s="904">
        <f>IFERROR(SUM(G55:G60),"")</f>
        <v>0</v>
      </c>
      <c r="H62" s="900" t="s">
        <v>681</v>
      </c>
      <c r="I62" s="899">
        <f>IFERROR(J62-K62,"")</f>
        <v>0</v>
      </c>
      <c r="J62" s="903">
        <f>IFERROR(SUM(J55:J60),"")</f>
        <v>0</v>
      </c>
      <c r="K62" s="904">
        <f>IFERROR(SUM(K55:K60),"")</f>
        <v>0</v>
      </c>
      <c r="R62" s="283"/>
    </row>
    <row r="63" spans="1:18" ht="70.150000000000006" customHeight="1" x14ac:dyDescent="0.25">
      <c r="B63" s="282"/>
      <c r="C63" s="905" t="s">
        <v>707</v>
      </c>
      <c r="D63" s="896" t="s">
        <v>681</v>
      </c>
      <c r="E63" s="899">
        <f>-E62</f>
        <v>0</v>
      </c>
      <c r="F63" s="1364"/>
      <c r="G63" s="1365"/>
      <c r="H63" s="1365"/>
      <c r="I63" s="1365"/>
      <c r="J63" s="1365"/>
      <c r="K63" s="1366"/>
      <c r="R63" s="283"/>
    </row>
    <row r="64" spans="1:18" ht="19.899999999999999" customHeight="1" x14ac:dyDescent="0.25">
      <c r="B64" s="467"/>
      <c r="C64" s="880"/>
      <c r="D64" s="880"/>
      <c r="E64" s="880"/>
      <c r="F64" s="880"/>
      <c r="G64" s="880"/>
      <c r="H64" s="880"/>
      <c r="I64" s="880"/>
      <c r="J64" s="880"/>
      <c r="K64" s="880"/>
      <c r="L64" s="880"/>
      <c r="M64" s="880"/>
      <c r="N64" s="880"/>
      <c r="O64" s="880"/>
      <c r="P64" s="880"/>
      <c r="Q64" s="880"/>
      <c r="R64" s="881"/>
    </row>
    <row r="66" spans="2:18" ht="15" customHeight="1" x14ac:dyDescent="0.25">
      <c r="B66" s="874"/>
      <c r="C66" s="290"/>
      <c r="D66" s="290"/>
      <c r="E66" s="290"/>
      <c r="F66" s="290"/>
      <c r="G66" s="290"/>
      <c r="H66" s="290"/>
      <c r="I66" s="290"/>
      <c r="J66" s="290"/>
      <c r="K66" s="290"/>
      <c r="L66" s="290"/>
      <c r="M66" s="290"/>
      <c r="N66" s="290"/>
      <c r="O66" s="290"/>
      <c r="P66" s="290"/>
      <c r="Q66" s="290"/>
      <c r="R66" s="285"/>
    </row>
    <row r="67" spans="2:18" ht="79.900000000000006" customHeight="1" x14ac:dyDescent="0.25">
      <c r="B67" s="875"/>
      <c r="C67" s="1371" t="s">
        <v>830</v>
      </c>
      <c r="D67" s="1371"/>
      <c r="E67" s="1371"/>
      <c r="F67" s="1371"/>
      <c r="G67" s="1371"/>
      <c r="H67" s="1371"/>
      <c r="I67" s="1371"/>
      <c r="J67" s="1371"/>
      <c r="K67" s="1371"/>
      <c r="L67" s="1371"/>
      <c r="M67" s="1371"/>
      <c r="N67" s="1371"/>
      <c r="O67" s="1371"/>
      <c r="P67" s="1371"/>
      <c r="Q67" s="864"/>
      <c r="R67" s="283"/>
    </row>
    <row r="68" spans="2:18" ht="30" customHeight="1" x14ac:dyDescent="0.25">
      <c r="B68" s="282"/>
      <c r="C68" s="92"/>
      <c r="D68" s="92"/>
      <c r="E68" s="92"/>
      <c r="F68" s="92"/>
      <c r="G68" s="92"/>
      <c r="H68" s="54"/>
      <c r="I68" s="54"/>
      <c r="J68" s="207"/>
      <c r="K68" s="48"/>
      <c r="R68" s="283"/>
    </row>
    <row r="69" spans="2:18" ht="36" x14ac:dyDescent="0.25">
      <c r="B69" s="282"/>
      <c r="C69" s="884" t="s">
        <v>507</v>
      </c>
      <c r="D69" s="865"/>
      <c r="E69" s="865"/>
      <c r="F69" s="865"/>
      <c r="G69" s="865"/>
      <c r="H69" s="865"/>
      <c r="I69" s="865"/>
      <c r="J69" s="865"/>
      <c r="K69" s="865"/>
      <c r="L69" s="865"/>
      <c r="M69" s="865"/>
      <c r="N69" s="865"/>
      <c r="O69" s="865"/>
      <c r="P69" s="865"/>
      <c r="Q69" s="864"/>
      <c r="R69" s="283"/>
    </row>
    <row r="70" spans="2:18" ht="30" customHeight="1" x14ac:dyDescent="0.25">
      <c r="B70" s="282"/>
      <c r="C70" s="92"/>
      <c r="D70" s="92"/>
      <c r="E70" s="92"/>
      <c r="F70" s="92"/>
      <c r="G70" s="92"/>
      <c r="H70" s="54"/>
      <c r="I70" s="54"/>
      <c r="J70" s="207"/>
      <c r="K70" s="48"/>
      <c r="R70" s="283"/>
    </row>
    <row r="71" spans="2:18" ht="49.9" customHeight="1" x14ac:dyDescent="0.25">
      <c r="B71" s="282"/>
      <c r="C71" s="1397"/>
      <c r="D71" s="1397"/>
      <c r="E71" s="893"/>
      <c r="F71" s="893" t="s">
        <v>141</v>
      </c>
      <c r="G71" s="893"/>
      <c r="H71" s="1377" t="s">
        <v>1288</v>
      </c>
      <c r="I71" s="1377"/>
      <c r="J71" s="1377"/>
      <c r="K71" s="1377"/>
      <c r="L71" s="1377"/>
      <c r="M71" s="1372" t="s">
        <v>1289</v>
      </c>
      <c r="N71" s="1372"/>
      <c r="O71" s="1372"/>
      <c r="P71" s="1372"/>
      <c r="Q71" s="1372"/>
      <c r="R71" s="283"/>
    </row>
    <row r="72" spans="2:18" ht="105" customHeight="1" x14ac:dyDescent="0.25">
      <c r="B72" s="282"/>
      <c r="C72" s="1367" t="s">
        <v>392</v>
      </c>
      <c r="D72" s="1368"/>
      <c r="E72" s="894" t="s">
        <v>1298</v>
      </c>
      <c r="F72" s="894" t="s">
        <v>1072</v>
      </c>
      <c r="G72" s="894" t="s">
        <v>126</v>
      </c>
      <c r="H72" s="895" t="s">
        <v>3</v>
      </c>
      <c r="I72" s="1376" t="s">
        <v>711</v>
      </c>
      <c r="J72" s="1376"/>
      <c r="K72" s="1376" t="s">
        <v>623</v>
      </c>
      <c r="L72" s="1376"/>
      <c r="M72" s="895" t="s">
        <v>3</v>
      </c>
      <c r="N72" s="1376" t="s">
        <v>711</v>
      </c>
      <c r="O72" s="1376"/>
      <c r="P72" s="1376" t="s">
        <v>623</v>
      </c>
      <c r="Q72" s="1376"/>
      <c r="R72" s="283"/>
    </row>
    <row r="73" spans="2:18" ht="79.900000000000006" customHeight="1" x14ac:dyDescent="0.35">
      <c r="B73" s="295"/>
      <c r="C73" s="1398" t="s">
        <v>329</v>
      </c>
      <c r="D73" s="1398"/>
      <c r="E73" s="1101"/>
      <c r="F73" s="1101"/>
      <c r="G73" s="1102" t="s">
        <v>160</v>
      </c>
      <c r="H73" s="896" t="s">
        <v>1238</v>
      </c>
      <c r="I73" s="1373"/>
      <c r="J73" s="1373"/>
      <c r="K73" s="1373" t="s">
        <v>160</v>
      </c>
      <c r="L73" s="1373"/>
      <c r="M73" s="896" t="s">
        <v>1238</v>
      </c>
      <c r="N73" s="1374"/>
      <c r="O73" s="1375"/>
      <c r="P73" s="1373" t="s">
        <v>160</v>
      </c>
      <c r="Q73" s="1373"/>
      <c r="R73" s="283"/>
    </row>
    <row r="74" spans="2:18" ht="79.900000000000006" customHeight="1" x14ac:dyDescent="0.35">
      <c r="B74" s="295"/>
      <c r="C74" s="1398" t="s">
        <v>330</v>
      </c>
      <c r="D74" s="1398"/>
      <c r="E74" s="1101"/>
      <c r="F74" s="1101"/>
      <c r="G74" s="1102" t="s">
        <v>160</v>
      </c>
      <c r="H74" s="896" t="s">
        <v>1238</v>
      </c>
      <c r="I74" s="1373"/>
      <c r="J74" s="1373"/>
      <c r="K74" s="1373" t="s">
        <v>160</v>
      </c>
      <c r="L74" s="1373"/>
      <c r="M74" s="896" t="s">
        <v>1238</v>
      </c>
      <c r="N74" s="1374"/>
      <c r="O74" s="1375"/>
      <c r="P74" s="1373" t="s">
        <v>160</v>
      </c>
      <c r="Q74" s="1373"/>
      <c r="R74" s="283"/>
    </row>
    <row r="75" spans="2:18" ht="79.900000000000006" customHeight="1" x14ac:dyDescent="0.35">
      <c r="B75" s="295"/>
      <c r="C75" s="1398" t="s">
        <v>331</v>
      </c>
      <c r="D75" s="1398"/>
      <c r="E75" s="1101"/>
      <c r="F75" s="1101"/>
      <c r="G75" s="1102" t="s">
        <v>160</v>
      </c>
      <c r="H75" s="896" t="s">
        <v>1238</v>
      </c>
      <c r="I75" s="1373"/>
      <c r="J75" s="1373"/>
      <c r="K75" s="1373" t="s">
        <v>160</v>
      </c>
      <c r="L75" s="1373"/>
      <c r="M75" s="896" t="s">
        <v>1238</v>
      </c>
      <c r="N75" s="1374"/>
      <c r="O75" s="1375"/>
      <c r="P75" s="1373" t="s">
        <v>160</v>
      </c>
      <c r="Q75" s="1373"/>
      <c r="R75" s="283"/>
    </row>
    <row r="76" spans="2:18" ht="79.900000000000006" customHeight="1" x14ac:dyDescent="0.35">
      <c r="B76" s="295"/>
      <c r="C76" s="1398" t="s">
        <v>333</v>
      </c>
      <c r="D76" s="1398"/>
      <c r="E76" s="1101"/>
      <c r="F76" s="1101"/>
      <c r="G76" s="1102" t="s">
        <v>160</v>
      </c>
      <c r="H76" s="896" t="s">
        <v>1238</v>
      </c>
      <c r="I76" s="1373"/>
      <c r="J76" s="1373"/>
      <c r="K76" s="1373" t="s">
        <v>160</v>
      </c>
      <c r="L76" s="1373"/>
      <c r="M76" s="896" t="s">
        <v>1238</v>
      </c>
      <c r="N76" s="1374"/>
      <c r="O76" s="1375"/>
      <c r="P76" s="1373" t="s">
        <v>160</v>
      </c>
      <c r="Q76" s="1373"/>
      <c r="R76" s="283"/>
    </row>
    <row r="77" spans="2:18" ht="79.900000000000006" customHeight="1" x14ac:dyDescent="0.35">
      <c r="B77" s="295"/>
      <c r="C77" s="1398" t="s">
        <v>332</v>
      </c>
      <c r="D77" s="1398"/>
      <c r="E77" s="1101"/>
      <c r="F77" s="1101"/>
      <c r="G77" s="1102" t="s">
        <v>160</v>
      </c>
      <c r="H77" s="896" t="s">
        <v>1134</v>
      </c>
      <c r="I77" s="1373"/>
      <c r="J77" s="1373"/>
      <c r="K77" s="1373" t="s">
        <v>160</v>
      </c>
      <c r="L77" s="1373"/>
      <c r="M77" s="896" t="s">
        <v>1134</v>
      </c>
      <c r="N77" s="1374"/>
      <c r="O77" s="1375"/>
      <c r="P77" s="1373" t="s">
        <v>160</v>
      </c>
      <c r="Q77" s="1373"/>
      <c r="R77" s="283"/>
    </row>
    <row r="78" spans="2:18" ht="24" customHeight="1" x14ac:dyDescent="0.35">
      <c r="B78" s="295"/>
      <c r="C78" s="867"/>
      <c r="D78" s="868"/>
      <c r="E78" s="869"/>
      <c r="F78" s="870"/>
      <c r="G78" s="870"/>
      <c r="H78" s="868"/>
      <c r="I78" s="869"/>
      <c r="J78" s="869"/>
      <c r="K78" s="870"/>
      <c r="L78" s="870"/>
      <c r="M78" s="871"/>
      <c r="N78" s="871"/>
      <c r="O78" s="871"/>
      <c r="P78" s="871"/>
      <c r="Q78" s="872"/>
      <c r="R78" s="283"/>
    </row>
    <row r="79" spans="2:18" ht="36" x14ac:dyDescent="0.35">
      <c r="B79" s="295"/>
      <c r="C79" s="884" t="s">
        <v>508</v>
      </c>
      <c r="D79" s="865"/>
      <c r="E79" s="865"/>
      <c r="F79" s="865"/>
      <c r="G79" s="865"/>
      <c r="H79" s="865"/>
      <c r="I79" s="865"/>
      <c r="J79" s="865"/>
      <c r="K79" s="865"/>
      <c r="L79" s="865"/>
      <c r="M79" s="865"/>
      <c r="N79" s="865"/>
      <c r="O79" s="865"/>
      <c r="P79" s="865"/>
      <c r="Q79" s="892"/>
      <c r="R79" s="283"/>
    </row>
    <row r="80" spans="2:18" ht="24" customHeight="1" x14ac:dyDescent="0.25">
      <c r="B80" s="282"/>
      <c r="C80" s="87"/>
      <c r="D80" s="88"/>
      <c r="E80" s="88"/>
      <c r="F80" s="88"/>
      <c r="G80" s="88"/>
      <c r="H80" s="54"/>
      <c r="I80" s="54"/>
      <c r="R80" s="283"/>
    </row>
    <row r="81" spans="2:18" ht="49.9" customHeight="1" x14ac:dyDescent="0.25">
      <c r="B81" s="282"/>
      <c r="C81" s="901"/>
      <c r="D81" s="1390" t="s">
        <v>671</v>
      </c>
      <c r="E81" s="1390"/>
      <c r="F81" s="1390"/>
      <c r="G81" s="1390"/>
      <c r="H81" s="1391" t="s">
        <v>673</v>
      </c>
      <c r="I81" s="1391"/>
      <c r="J81" s="1391"/>
      <c r="K81" s="1391"/>
      <c r="R81" s="283"/>
    </row>
    <row r="82" spans="2:18" ht="79.900000000000006" customHeight="1" x14ac:dyDescent="0.25">
      <c r="B82" s="282"/>
      <c r="C82" s="1161" t="s">
        <v>392</v>
      </c>
      <c r="D82" s="897" t="s">
        <v>3</v>
      </c>
      <c r="E82" s="898" t="s">
        <v>1030</v>
      </c>
      <c r="F82" s="898" t="s">
        <v>1026</v>
      </c>
      <c r="G82" s="898" t="s">
        <v>1027</v>
      </c>
      <c r="H82" s="897" t="s">
        <v>3</v>
      </c>
      <c r="I82" s="898" t="s">
        <v>504</v>
      </c>
      <c r="J82" s="898" t="s">
        <v>1028</v>
      </c>
      <c r="K82" s="898" t="s">
        <v>1029</v>
      </c>
      <c r="R82" s="283"/>
    </row>
    <row r="83" spans="2:18" ht="79.900000000000006" customHeight="1" x14ac:dyDescent="0.25">
      <c r="B83" s="282"/>
      <c r="C83" s="1150" t="s">
        <v>329</v>
      </c>
      <c r="D83" s="896" t="s">
        <v>681</v>
      </c>
      <c r="E83" s="1164">
        <f>IFERROR(F83-G83,"")</f>
        <v>0</v>
      </c>
      <c r="F83" s="1164">
        <f>IFERROR((E73*F73*N73)/1000,"")</f>
        <v>0</v>
      </c>
      <c r="G83" s="1164">
        <f>IFERROR((E73*F73*I73)/1000,"")</f>
        <v>0</v>
      </c>
      <c r="H83" s="896" t="s">
        <v>681</v>
      </c>
      <c r="I83" s="1164">
        <f>IFERROR(J83-K83,"")</f>
        <v>0</v>
      </c>
      <c r="J83" s="1164">
        <f>IFERROR((F83+(E73*F73*'Fatores de Emissão'!$G$47))/1000,"")</f>
        <v>0</v>
      </c>
      <c r="K83" s="1164">
        <f>IFERROR((G83+((E73*F73*'Fatores de Emissão'!$G$47)/1000)),"")</f>
        <v>0</v>
      </c>
      <c r="R83" s="283"/>
    </row>
    <row r="84" spans="2:18" ht="79.900000000000006" customHeight="1" x14ac:dyDescent="0.25">
      <c r="B84" s="282"/>
      <c r="C84" s="1150" t="s">
        <v>330</v>
      </c>
      <c r="D84" s="896" t="s">
        <v>681</v>
      </c>
      <c r="E84" s="1164">
        <f>IFERROR(F84-G84,"")</f>
        <v>0</v>
      </c>
      <c r="F84" s="1164">
        <f>IFERROR((E74*F74*N74)/1000,"")</f>
        <v>0</v>
      </c>
      <c r="G84" s="1164">
        <f>IFERROR((E74*F74*I74)/1000,"")</f>
        <v>0</v>
      </c>
      <c r="H84" s="896" t="s">
        <v>681</v>
      </c>
      <c r="I84" s="1164">
        <f>IFERROR(J84-K84,"")</f>
        <v>0</v>
      </c>
      <c r="J84" s="1164">
        <f>IFERROR((F84+(E73*F73*'Fatores de Emissão'!G49))/1000,"")</f>
        <v>0</v>
      </c>
      <c r="K84" s="1164">
        <f>IFERROR((G84+((E73*F73*'Fatores de Emissão'!G49)/1000)),"")</f>
        <v>0</v>
      </c>
      <c r="R84" s="283"/>
    </row>
    <row r="85" spans="2:18" ht="79.900000000000006" customHeight="1" x14ac:dyDescent="0.25">
      <c r="B85" s="282"/>
      <c r="C85" s="1173" t="s">
        <v>331</v>
      </c>
      <c r="D85" s="896" t="s">
        <v>681</v>
      </c>
      <c r="E85" s="1164">
        <f>IFERROR(F85-G85,"")</f>
        <v>0</v>
      </c>
      <c r="F85" s="1164">
        <f>IFERROR((E75*F75*N75)/1000,"")</f>
        <v>0</v>
      </c>
      <c r="G85" s="1164">
        <f>IFERROR((E75*F75*I75)/1000,"")</f>
        <v>0</v>
      </c>
      <c r="H85" s="896" t="s">
        <v>681</v>
      </c>
      <c r="I85" s="1164">
        <f>IFERROR(J85-K85,"")</f>
        <v>0</v>
      </c>
      <c r="J85" s="1164">
        <f>IFERROR((F85+(E75*F75*'Fatores de Emissão'!G50))/1000,"")</f>
        <v>0</v>
      </c>
      <c r="K85" s="1164">
        <f>IFERROR((G85+((E75*F75*'Fatores de Emissão'!G50)/1000)),"")</f>
        <v>0</v>
      </c>
      <c r="R85" s="283"/>
    </row>
    <row r="86" spans="2:18" ht="79.900000000000006" customHeight="1" x14ac:dyDescent="0.25">
      <c r="B86" s="282"/>
      <c r="C86" s="1173" t="s">
        <v>333</v>
      </c>
      <c r="D86" s="896" t="s">
        <v>681</v>
      </c>
      <c r="E86" s="1164">
        <f>IFERROR(F86-G86,"")</f>
        <v>0</v>
      </c>
      <c r="F86" s="1164">
        <f>IFERROR((E76*F76*N76)/1000,"")</f>
        <v>0</v>
      </c>
      <c r="G86" s="1164">
        <f>IFERROR((E76*F76*I76)/1000,"")</f>
        <v>0</v>
      </c>
      <c r="H86" s="896" t="s">
        <v>681</v>
      </c>
      <c r="I86" s="1164">
        <f>IFERROR(J86-K86,"")</f>
        <v>0</v>
      </c>
      <c r="J86" s="1164">
        <f>IFERROR((F86+(E76*F76*'Fatores de Emissão'!G51))/1000,"")</f>
        <v>0</v>
      </c>
      <c r="K86" s="1164">
        <f>IFERROR((G86+((E76*F76*'Fatores de Emissão'!G51)/1000)),"")</f>
        <v>0</v>
      </c>
      <c r="R86" s="283"/>
    </row>
    <row r="87" spans="2:18" ht="79.900000000000006" customHeight="1" x14ac:dyDescent="0.25">
      <c r="B87" s="282"/>
      <c r="C87" s="1173" t="s">
        <v>332</v>
      </c>
      <c r="D87" s="896" t="s">
        <v>681</v>
      </c>
      <c r="E87" s="1164">
        <f>IFERROR(F87-G87,"")</f>
        <v>0</v>
      </c>
      <c r="F87" s="1164">
        <f>IFERROR((E77*F77*N77)/1000,"")</f>
        <v>0</v>
      </c>
      <c r="G87" s="1164">
        <f>IFERROR((E77*F77*I77)/1000,"")</f>
        <v>0</v>
      </c>
      <c r="H87" s="896" t="s">
        <v>681</v>
      </c>
      <c r="I87" s="1164">
        <f>IFERROR(J87-K87,"")</f>
        <v>0</v>
      </c>
      <c r="J87" s="1164">
        <f>IFERROR((F87+(E76*F76*'Fatores de Emissão'!G46))/1000,"")</f>
        <v>0</v>
      </c>
      <c r="K87" s="1164">
        <f>IFERROR((G87+((E77*F77*'Fatores de Emissão'!$G$46)/1000)),"")</f>
        <v>0</v>
      </c>
      <c r="R87" s="283"/>
    </row>
    <row r="88" spans="2:18" ht="19.899999999999999" customHeight="1" x14ac:dyDescent="0.25">
      <c r="B88" s="282"/>
      <c r="C88" s="873"/>
      <c r="D88" s="307"/>
      <c r="E88" s="1165"/>
      <c r="F88" s="1165"/>
      <c r="G88" s="1165"/>
      <c r="H88" s="307"/>
      <c r="I88" s="1165"/>
      <c r="J88" s="1165"/>
      <c r="K88" s="1165"/>
      <c r="R88" s="283"/>
    </row>
    <row r="89" spans="2:18" ht="79.900000000000006" customHeight="1" x14ac:dyDescent="0.25">
      <c r="B89" s="282"/>
      <c r="C89" s="905" t="s">
        <v>710</v>
      </c>
      <c r="D89" s="896" t="s">
        <v>681</v>
      </c>
      <c r="E89" s="899">
        <f>IFERROR(F89-G89,"")</f>
        <v>0</v>
      </c>
      <c r="F89" s="903">
        <f>IFERROR(SUM(F83:F87),"")</f>
        <v>0</v>
      </c>
      <c r="G89" s="904">
        <f>IFERROR(SUM(G83:G87),"")</f>
        <v>0</v>
      </c>
      <c r="H89" s="900" t="s">
        <v>681</v>
      </c>
      <c r="I89" s="899">
        <f>IFERROR(J89-K89,"")</f>
        <v>0</v>
      </c>
      <c r="J89" s="903">
        <f>IFERROR(SUM(J83:J87),"")</f>
        <v>0</v>
      </c>
      <c r="K89" s="904">
        <f>IFERROR(SUM(K83:K87),"")</f>
        <v>0</v>
      </c>
      <c r="R89" s="283"/>
    </row>
    <row r="90" spans="2:18" ht="79.900000000000006" customHeight="1" x14ac:dyDescent="0.25">
      <c r="B90" s="282"/>
      <c r="C90" s="905" t="s">
        <v>707</v>
      </c>
      <c r="D90" s="896" t="s">
        <v>681</v>
      </c>
      <c r="E90" s="899">
        <f>-E89</f>
        <v>0</v>
      </c>
      <c r="F90" s="1361"/>
      <c r="G90" s="1362"/>
      <c r="H90" s="1362"/>
      <c r="I90" s="1362"/>
      <c r="J90" s="1362"/>
      <c r="K90" s="1363"/>
      <c r="R90" s="283"/>
    </row>
    <row r="91" spans="2:18" ht="19.899999999999999" customHeight="1" x14ac:dyDescent="0.25">
      <c r="B91" s="467"/>
      <c r="C91" s="880"/>
      <c r="D91" s="880"/>
      <c r="E91" s="880"/>
      <c r="F91" s="880"/>
      <c r="G91" s="880"/>
      <c r="H91" s="880"/>
      <c r="I91" s="888"/>
      <c r="J91" s="888"/>
      <c r="K91" s="888"/>
      <c r="L91" s="880"/>
      <c r="M91" s="880"/>
      <c r="N91" s="880"/>
      <c r="O91" s="880"/>
      <c r="P91" s="880"/>
      <c r="Q91" s="880"/>
      <c r="R91" s="881"/>
    </row>
    <row r="93" spans="2:18" ht="15" customHeight="1" x14ac:dyDescent="0.25">
      <c r="B93" s="874"/>
      <c r="C93" s="290"/>
      <c r="D93" s="290"/>
      <c r="E93" s="290"/>
      <c r="F93" s="290"/>
      <c r="G93" s="290"/>
      <c r="H93" s="290"/>
      <c r="I93" s="290"/>
      <c r="J93" s="290"/>
      <c r="K93" s="290"/>
      <c r="L93" s="290"/>
      <c r="M93" s="290"/>
      <c r="N93" s="290"/>
      <c r="O93" s="290"/>
      <c r="P93" s="290"/>
      <c r="Q93" s="290"/>
      <c r="R93" s="285"/>
    </row>
    <row r="94" spans="2:18" ht="79.900000000000006" customHeight="1" x14ac:dyDescent="0.25">
      <c r="B94" s="875"/>
      <c r="C94" s="1371" t="s">
        <v>1060</v>
      </c>
      <c r="D94" s="1371"/>
      <c r="E94" s="1371"/>
      <c r="F94" s="1371"/>
      <c r="G94" s="1371"/>
      <c r="H94" s="1371"/>
      <c r="I94" s="1371"/>
      <c r="J94" s="1371"/>
      <c r="K94" s="1371"/>
      <c r="L94" s="1371"/>
      <c r="M94" s="1371"/>
      <c r="N94" s="1371"/>
      <c r="O94" s="1371"/>
      <c r="P94" s="1371"/>
      <c r="Q94" s="864"/>
      <c r="R94" s="283"/>
    </row>
    <row r="95" spans="2:18" ht="30" customHeight="1" x14ac:dyDescent="0.25">
      <c r="B95" s="282"/>
      <c r="C95" s="92"/>
      <c r="D95" s="92"/>
      <c r="E95" s="92"/>
      <c r="F95" s="92"/>
      <c r="G95" s="866"/>
      <c r="H95" s="54"/>
      <c r="I95" s="54"/>
      <c r="J95" s="55"/>
      <c r="K95" s="48"/>
      <c r="R95" s="283"/>
    </row>
    <row r="96" spans="2:18" ht="36" x14ac:dyDescent="0.25">
      <c r="B96" s="282"/>
      <c r="C96" s="884" t="s">
        <v>1061</v>
      </c>
      <c r="D96" s="865"/>
      <c r="E96" s="865"/>
      <c r="F96" s="865"/>
      <c r="G96" s="865"/>
      <c r="H96" s="865"/>
      <c r="I96" s="865"/>
      <c r="J96" s="865"/>
      <c r="K96" s="865"/>
      <c r="L96" s="865"/>
      <c r="M96" s="865"/>
      <c r="N96" s="865"/>
      <c r="O96" s="865"/>
      <c r="P96" s="865"/>
      <c r="Q96" s="864"/>
      <c r="R96" s="283"/>
    </row>
    <row r="97" spans="2:18" ht="24" customHeight="1" x14ac:dyDescent="0.25">
      <c r="B97" s="282"/>
      <c r="C97" s="92"/>
      <c r="D97" s="92"/>
      <c r="E97" s="92"/>
      <c r="F97" s="92"/>
      <c r="G97" s="92"/>
      <c r="H97" s="54"/>
      <c r="I97" s="54"/>
      <c r="J97" s="207"/>
      <c r="K97" s="48"/>
      <c r="R97" s="283"/>
    </row>
    <row r="98" spans="2:18" ht="49.9" customHeight="1" x14ac:dyDescent="0.25">
      <c r="B98" s="282"/>
      <c r="C98" s="1393"/>
      <c r="D98" s="1393"/>
      <c r="E98" s="893"/>
      <c r="F98" s="893" t="s">
        <v>141</v>
      </c>
      <c r="G98" s="893"/>
      <c r="H98" s="1377" t="s">
        <v>1288</v>
      </c>
      <c r="I98" s="1377"/>
      <c r="J98" s="1377"/>
      <c r="K98" s="1377"/>
      <c r="L98" s="1377"/>
      <c r="M98" s="1372" t="s">
        <v>1289</v>
      </c>
      <c r="N98" s="1372"/>
      <c r="O98" s="1372"/>
      <c r="P98" s="1372"/>
      <c r="Q98" s="1372"/>
      <c r="R98" s="283"/>
    </row>
    <row r="99" spans="2:18" ht="99" customHeight="1" x14ac:dyDescent="0.25">
      <c r="B99" s="282"/>
      <c r="C99" s="1369" t="s">
        <v>1294</v>
      </c>
      <c r="D99" s="1370"/>
      <c r="E99" s="894" t="s">
        <v>1295</v>
      </c>
      <c r="F99" s="894" t="s">
        <v>1073</v>
      </c>
      <c r="G99" s="894" t="s">
        <v>1290</v>
      </c>
      <c r="H99" s="895" t="s">
        <v>3</v>
      </c>
      <c r="I99" s="1376" t="s">
        <v>711</v>
      </c>
      <c r="J99" s="1376"/>
      <c r="K99" s="1376" t="s">
        <v>623</v>
      </c>
      <c r="L99" s="1376"/>
      <c r="M99" s="895" t="s">
        <v>3</v>
      </c>
      <c r="N99" s="1376" t="s">
        <v>711</v>
      </c>
      <c r="O99" s="1376"/>
      <c r="P99" s="1376" t="s">
        <v>623</v>
      </c>
      <c r="Q99" s="1376"/>
      <c r="R99" s="283"/>
    </row>
    <row r="100" spans="2:18" ht="79.900000000000006" customHeight="1" x14ac:dyDescent="0.35">
      <c r="B100" s="295"/>
      <c r="C100" s="1392" t="s">
        <v>1297</v>
      </c>
      <c r="D100" s="1392"/>
      <c r="E100" s="1101"/>
      <c r="F100" s="1101"/>
      <c r="G100" s="1152" t="s">
        <v>146</v>
      </c>
      <c r="H100" s="896" t="s">
        <v>1134</v>
      </c>
      <c r="I100" s="1373"/>
      <c r="J100" s="1373"/>
      <c r="K100" s="1374" t="s">
        <v>160</v>
      </c>
      <c r="L100" s="1375"/>
      <c r="M100" s="896" t="s">
        <v>1134</v>
      </c>
      <c r="N100" s="1373"/>
      <c r="O100" s="1373"/>
      <c r="P100" s="1373" t="s">
        <v>160</v>
      </c>
      <c r="Q100" s="1373"/>
      <c r="R100" s="283"/>
    </row>
    <row r="101" spans="2:18" ht="24" customHeight="1" x14ac:dyDescent="0.35">
      <c r="B101" s="295"/>
      <c r="C101" s="867"/>
      <c r="D101" s="868"/>
      <c r="E101" s="869"/>
      <c r="F101" s="870"/>
      <c r="G101" s="870"/>
      <c r="H101" s="868"/>
      <c r="I101" s="869"/>
      <c r="J101" s="869"/>
      <c r="K101" s="870"/>
      <c r="L101" s="870"/>
      <c r="M101" s="871"/>
      <c r="N101" s="871"/>
      <c r="O101" s="871"/>
      <c r="P101" s="871"/>
      <c r="Q101" s="872"/>
      <c r="R101" s="283"/>
    </row>
    <row r="102" spans="2:18" ht="36" x14ac:dyDescent="0.35">
      <c r="B102" s="295"/>
      <c r="C102" s="884" t="s">
        <v>1062</v>
      </c>
      <c r="D102" s="865"/>
      <c r="E102" s="865"/>
      <c r="F102" s="865"/>
      <c r="G102" s="865"/>
      <c r="H102" s="865"/>
      <c r="I102" s="865"/>
      <c r="J102" s="865"/>
      <c r="K102" s="865"/>
      <c r="L102" s="865"/>
      <c r="M102" s="865"/>
      <c r="N102" s="865"/>
      <c r="O102" s="865"/>
      <c r="P102" s="865"/>
      <c r="Q102" s="892"/>
      <c r="R102" s="283"/>
    </row>
    <row r="103" spans="2:18" ht="24" customHeight="1" x14ac:dyDescent="0.25">
      <c r="B103" s="282"/>
      <c r="C103" s="87"/>
      <c r="D103" s="88"/>
      <c r="E103" s="88"/>
      <c r="F103" s="88"/>
      <c r="G103" s="88"/>
      <c r="H103" s="54"/>
      <c r="I103" s="54"/>
      <c r="R103" s="283"/>
    </row>
    <row r="104" spans="2:18" ht="79.900000000000006" customHeight="1" x14ac:dyDescent="0.25">
      <c r="B104" s="282"/>
      <c r="C104" s="901"/>
      <c r="D104" s="1390" t="s">
        <v>671</v>
      </c>
      <c r="E104" s="1390"/>
      <c r="F104" s="1390"/>
      <c r="G104" s="1390"/>
      <c r="H104" s="1391" t="s">
        <v>673</v>
      </c>
      <c r="I104" s="1391"/>
      <c r="J104" s="1391"/>
      <c r="K104" s="1391"/>
      <c r="R104" s="283"/>
    </row>
    <row r="105" spans="2:18" ht="79.900000000000006" customHeight="1" x14ac:dyDescent="0.25">
      <c r="B105" s="282"/>
      <c r="C105" s="902" t="s">
        <v>1063</v>
      </c>
      <c r="D105" s="897" t="s">
        <v>3</v>
      </c>
      <c r="E105" s="898" t="s">
        <v>1030</v>
      </c>
      <c r="F105" s="898" t="s">
        <v>1026</v>
      </c>
      <c r="G105" s="898" t="s">
        <v>1027</v>
      </c>
      <c r="H105" s="897" t="s">
        <v>3</v>
      </c>
      <c r="I105" s="898" t="s">
        <v>504</v>
      </c>
      <c r="J105" s="898" t="s">
        <v>1028</v>
      </c>
      <c r="K105" s="898" t="s">
        <v>1029</v>
      </c>
      <c r="R105" s="283"/>
    </row>
    <row r="106" spans="2:18" ht="79.900000000000006" customHeight="1" x14ac:dyDescent="0.25">
      <c r="B106" s="282"/>
      <c r="C106" s="905" t="s">
        <v>710</v>
      </c>
      <c r="D106" s="896" t="s">
        <v>681</v>
      </c>
      <c r="E106" s="1169">
        <f>IFERROR(F106-G106,"")</f>
        <v>0</v>
      </c>
      <c r="F106" s="1169">
        <f>IFERROR((E100*F100*N100)/1000,"")</f>
        <v>0</v>
      </c>
      <c r="G106" s="1169">
        <f>IFERROR((E100*F100*I100)/1000,"")</f>
        <v>0</v>
      </c>
      <c r="H106" s="900" t="s">
        <v>681</v>
      </c>
      <c r="I106" s="1169">
        <f>IFERROR(J106-K106,"")</f>
        <v>0</v>
      </c>
      <c r="J106" s="1169">
        <f>IFERROR(F106+((E100*F100*'Fatores de Emissão'!$G$40*125)/1000),"")</f>
        <v>0</v>
      </c>
      <c r="K106" s="1169">
        <f>IFERROR(IF(G100=FAListas!C65,G106+((E100*F100*'Fatores de Emissão'!$G$40*125)/1000),IF('IC_todos os projetos'!G100=FAListas!C66,G106+((E100*F100*'Fatores de Emissão'!$I$60*125)/1000),IF(G100=FAListas!C64,0,""))),"")</f>
        <v>0</v>
      </c>
      <c r="R106" s="283"/>
    </row>
    <row r="107" spans="2:18" ht="79.900000000000006" customHeight="1" x14ac:dyDescent="0.25">
      <c r="B107" s="282"/>
      <c r="C107" s="905" t="s">
        <v>707</v>
      </c>
      <c r="D107" s="896" t="s">
        <v>681</v>
      </c>
      <c r="E107" s="899">
        <f>-E106</f>
        <v>0</v>
      </c>
      <c r="F107" s="1378"/>
      <c r="G107" s="1379"/>
      <c r="H107" s="1379"/>
      <c r="I107" s="1379"/>
      <c r="J107" s="1379"/>
      <c r="K107" s="1380"/>
      <c r="R107" s="283"/>
    </row>
    <row r="108" spans="2:18" ht="15" customHeight="1" x14ac:dyDescent="0.25">
      <c r="B108" s="467"/>
      <c r="C108" s="1388"/>
      <c r="D108" s="1388"/>
      <c r="E108" s="1388"/>
      <c r="F108" s="889"/>
      <c r="G108" s="889"/>
      <c r="H108" s="890"/>
      <c r="I108" s="889"/>
      <c r="J108" s="889"/>
      <c r="K108" s="889"/>
      <c r="L108" s="880"/>
      <c r="M108" s="880"/>
      <c r="N108" s="880"/>
      <c r="O108" s="880"/>
      <c r="P108" s="880"/>
      <c r="Q108" s="880"/>
      <c r="R108" s="881"/>
    </row>
    <row r="110" spans="2:18" ht="15" customHeight="1" x14ac:dyDescent="0.25">
      <c r="B110" s="874"/>
      <c r="C110" s="290"/>
      <c r="D110" s="290"/>
      <c r="E110" s="290"/>
      <c r="F110" s="290"/>
      <c r="G110" s="290"/>
      <c r="H110" s="290"/>
      <c r="I110" s="290"/>
      <c r="J110" s="290"/>
      <c r="K110" s="290"/>
      <c r="L110" s="290"/>
      <c r="M110" s="290"/>
      <c r="N110" s="290"/>
      <c r="O110" s="290"/>
      <c r="P110" s="290"/>
      <c r="Q110" s="290"/>
      <c r="R110" s="285"/>
    </row>
    <row r="111" spans="2:18" ht="79.900000000000006" customHeight="1" x14ac:dyDescent="0.25">
      <c r="B111" s="875"/>
      <c r="C111" s="1371" t="s">
        <v>1064</v>
      </c>
      <c r="D111" s="1371"/>
      <c r="E111" s="1371"/>
      <c r="F111" s="1371"/>
      <c r="G111" s="1371"/>
      <c r="H111" s="1371"/>
      <c r="I111" s="1371"/>
      <c r="J111" s="1371"/>
      <c r="K111" s="1371"/>
      <c r="L111" s="1371"/>
      <c r="M111" s="1371"/>
      <c r="N111" s="1371"/>
      <c r="O111" s="1371"/>
      <c r="P111" s="1371"/>
      <c r="Q111" s="864"/>
      <c r="R111" s="283"/>
    </row>
    <row r="112" spans="2:18" ht="30" customHeight="1" x14ac:dyDescent="0.3">
      <c r="B112" s="282"/>
      <c r="C112" s="1389"/>
      <c r="D112" s="1389"/>
      <c r="E112" s="1389"/>
      <c r="F112" s="882"/>
      <c r="G112" s="507"/>
      <c r="H112" s="54"/>
      <c r="I112" s="54"/>
      <c r="J112" s="883"/>
      <c r="K112" s="55"/>
      <c r="R112" s="283"/>
    </row>
    <row r="113" spans="2:18" ht="36" x14ac:dyDescent="0.25">
      <c r="B113" s="282"/>
      <c r="C113" s="884" t="s">
        <v>509</v>
      </c>
      <c r="D113" s="865"/>
      <c r="E113" s="865"/>
      <c r="F113" s="865"/>
      <c r="G113" s="865"/>
      <c r="H113" s="865"/>
      <c r="I113" s="865"/>
      <c r="J113" s="865"/>
      <c r="K113" s="865"/>
      <c r="L113" s="865"/>
      <c r="M113" s="865"/>
      <c r="N113" s="865"/>
      <c r="O113" s="865"/>
      <c r="P113" s="865"/>
      <c r="Q113" s="864"/>
      <c r="R113" s="283"/>
    </row>
    <row r="114" spans="2:18" ht="24" customHeight="1" x14ac:dyDescent="0.25">
      <c r="B114" s="282"/>
      <c r="C114" s="87"/>
      <c r="D114" s="88"/>
      <c r="E114" s="88"/>
      <c r="F114" s="88"/>
      <c r="G114" s="88"/>
      <c r="H114" s="284"/>
      <c r="I114" s="1387"/>
      <c r="J114" s="1387"/>
      <c r="K114" s="394"/>
      <c r="L114" s="88"/>
      <c r="M114" s="88"/>
      <c r="R114" s="283"/>
    </row>
    <row r="115" spans="2:18" ht="49.9" customHeight="1" x14ac:dyDescent="0.25">
      <c r="B115" s="282"/>
      <c r="C115" s="1381"/>
      <c r="D115" s="1382"/>
      <c r="E115" s="893"/>
      <c r="F115" s="893" t="s">
        <v>141</v>
      </c>
      <c r="G115" s="893"/>
      <c r="H115" s="1377" t="s">
        <v>1288</v>
      </c>
      <c r="I115" s="1377"/>
      <c r="J115" s="1377"/>
      <c r="K115" s="1377"/>
      <c r="L115" s="1377"/>
      <c r="M115" s="1372" t="s">
        <v>709</v>
      </c>
      <c r="N115" s="1372"/>
      <c r="O115" s="1372"/>
      <c r="P115" s="1372"/>
      <c r="Q115" s="1372"/>
      <c r="R115" s="283"/>
    </row>
    <row r="116" spans="2:18" ht="120.6" customHeight="1" x14ac:dyDescent="0.25">
      <c r="B116" s="282"/>
      <c r="C116" s="1383" t="s">
        <v>1293</v>
      </c>
      <c r="D116" s="1384"/>
      <c r="E116" s="894" t="s">
        <v>1296</v>
      </c>
      <c r="F116" s="894" t="s">
        <v>1074</v>
      </c>
      <c r="G116" s="894" t="s">
        <v>126</v>
      </c>
      <c r="H116" s="895" t="s">
        <v>3</v>
      </c>
      <c r="I116" s="1376" t="s">
        <v>711</v>
      </c>
      <c r="J116" s="1376"/>
      <c r="K116" s="1376" t="s">
        <v>623</v>
      </c>
      <c r="L116" s="1376"/>
      <c r="M116" s="895" t="s">
        <v>3</v>
      </c>
      <c r="N116" s="1376" t="s">
        <v>711</v>
      </c>
      <c r="O116" s="1376"/>
      <c r="P116" s="1376" t="s">
        <v>623</v>
      </c>
      <c r="Q116" s="1376"/>
      <c r="R116" s="283"/>
    </row>
    <row r="117" spans="2:18" ht="79.900000000000006" customHeight="1" x14ac:dyDescent="0.35">
      <c r="B117" s="295"/>
      <c r="C117" s="1385" t="s">
        <v>1273</v>
      </c>
      <c r="D117" s="1386"/>
      <c r="E117" s="1101"/>
      <c r="F117" s="1101"/>
      <c r="G117" s="1102" t="s">
        <v>160</v>
      </c>
      <c r="H117" s="896" t="s">
        <v>1134</v>
      </c>
      <c r="I117" s="1373"/>
      <c r="J117" s="1373"/>
      <c r="K117" s="1373" t="s">
        <v>160</v>
      </c>
      <c r="L117" s="1373"/>
      <c r="M117" s="896" t="s">
        <v>1134</v>
      </c>
      <c r="N117" s="1373"/>
      <c r="O117" s="1373"/>
      <c r="P117" s="1373" t="s">
        <v>160</v>
      </c>
      <c r="Q117" s="1373"/>
      <c r="R117" s="283"/>
    </row>
    <row r="118" spans="2:18" ht="79.900000000000006" customHeight="1" x14ac:dyDescent="0.35">
      <c r="B118" s="295"/>
      <c r="C118" s="1385" t="s">
        <v>1273</v>
      </c>
      <c r="D118" s="1386"/>
      <c r="E118" s="1101"/>
      <c r="F118" s="1101"/>
      <c r="G118" s="1102" t="s">
        <v>160</v>
      </c>
      <c r="H118" s="896" t="s">
        <v>1134</v>
      </c>
      <c r="I118" s="1373"/>
      <c r="J118" s="1373"/>
      <c r="K118" s="1373" t="s">
        <v>160</v>
      </c>
      <c r="L118" s="1373"/>
      <c r="M118" s="896" t="s">
        <v>1134</v>
      </c>
      <c r="N118" s="1373"/>
      <c r="O118" s="1373"/>
      <c r="P118" s="1373" t="s">
        <v>160</v>
      </c>
      <c r="Q118" s="1373"/>
      <c r="R118" s="283"/>
    </row>
    <row r="119" spans="2:18" ht="79.900000000000006" customHeight="1" x14ac:dyDescent="0.35">
      <c r="B119" s="295"/>
      <c r="C119" s="1385" t="s">
        <v>1280</v>
      </c>
      <c r="D119" s="1386"/>
      <c r="E119" s="1101"/>
      <c r="F119" s="1101"/>
      <c r="G119" s="1102" t="s">
        <v>160</v>
      </c>
      <c r="H119" s="896" t="s">
        <v>1134</v>
      </c>
      <c r="I119" s="1373"/>
      <c r="J119" s="1373"/>
      <c r="K119" s="1373" t="s">
        <v>160</v>
      </c>
      <c r="L119" s="1373"/>
      <c r="M119" s="896" t="s">
        <v>1134</v>
      </c>
      <c r="N119" s="1373"/>
      <c r="O119" s="1373"/>
      <c r="P119" s="1373" t="s">
        <v>160</v>
      </c>
      <c r="Q119" s="1373"/>
      <c r="R119" s="283"/>
    </row>
    <row r="120" spans="2:18" ht="79.900000000000006" customHeight="1" x14ac:dyDescent="0.35">
      <c r="B120" s="295"/>
      <c r="C120" s="1385" t="s">
        <v>1280</v>
      </c>
      <c r="D120" s="1386"/>
      <c r="E120" s="1101"/>
      <c r="F120" s="1101"/>
      <c r="G120" s="1102" t="s">
        <v>160</v>
      </c>
      <c r="H120" s="896" t="s">
        <v>1134</v>
      </c>
      <c r="I120" s="1373"/>
      <c r="J120" s="1373"/>
      <c r="K120" s="1373" t="s">
        <v>160</v>
      </c>
      <c r="L120" s="1373"/>
      <c r="M120" s="896" t="s">
        <v>1134</v>
      </c>
      <c r="N120" s="1373"/>
      <c r="O120" s="1373"/>
      <c r="P120" s="1373" t="s">
        <v>160</v>
      </c>
      <c r="Q120" s="1373"/>
      <c r="R120" s="283"/>
    </row>
    <row r="121" spans="2:18" ht="24" customHeight="1" x14ac:dyDescent="0.35">
      <c r="B121" s="295"/>
      <c r="C121" s="867"/>
      <c r="D121" s="868"/>
      <c r="E121" s="869"/>
      <c r="F121" s="870"/>
      <c r="G121" s="870"/>
      <c r="H121" s="868"/>
      <c r="I121" s="869"/>
      <c r="J121" s="869"/>
      <c r="K121" s="870"/>
      <c r="L121" s="870"/>
      <c r="M121" s="871"/>
      <c r="N121" s="871"/>
      <c r="O121" s="871"/>
      <c r="P121" s="871"/>
      <c r="Q121" s="872"/>
      <c r="R121" s="283"/>
    </row>
    <row r="122" spans="2:18" ht="36" x14ac:dyDescent="0.35">
      <c r="B122" s="295"/>
      <c r="C122" s="884" t="s">
        <v>511</v>
      </c>
      <c r="D122" s="865"/>
      <c r="E122" s="865"/>
      <c r="F122" s="865"/>
      <c r="G122" s="865"/>
      <c r="H122" s="865"/>
      <c r="I122" s="865"/>
      <c r="J122" s="865"/>
      <c r="K122" s="865"/>
      <c r="L122" s="865"/>
      <c r="M122" s="865"/>
      <c r="N122" s="865"/>
      <c r="O122" s="865"/>
      <c r="P122" s="865"/>
      <c r="Q122" s="892"/>
      <c r="R122" s="283"/>
    </row>
    <row r="123" spans="2:18" ht="24" customHeight="1" x14ac:dyDescent="0.25">
      <c r="B123" s="282"/>
      <c r="C123" s="87"/>
      <c r="D123" s="88"/>
      <c r="E123" s="88"/>
      <c r="F123" s="88"/>
      <c r="G123" s="88"/>
      <c r="H123" s="54"/>
      <c r="I123" s="54"/>
      <c r="R123" s="283"/>
    </row>
    <row r="124" spans="2:18" ht="49.9" customHeight="1" x14ac:dyDescent="0.25">
      <c r="B124" s="282"/>
      <c r="C124" s="1170"/>
      <c r="D124" s="1390" t="s">
        <v>671</v>
      </c>
      <c r="E124" s="1390"/>
      <c r="F124" s="1390"/>
      <c r="G124" s="1390"/>
      <c r="H124" s="1391" t="s">
        <v>673</v>
      </c>
      <c r="I124" s="1391"/>
      <c r="J124" s="1391"/>
      <c r="K124" s="1391"/>
      <c r="R124" s="283"/>
    </row>
    <row r="125" spans="2:18" ht="79.900000000000006" customHeight="1" x14ac:dyDescent="0.25">
      <c r="B125" s="282"/>
      <c r="C125" s="1174" t="str">
        <f>C116</f>
        <v>Designação do tipo transporte a ADQUIRIR</v>
      </c>
      <c r="D125" s="1162" t="s">
        <v>3</v>
      </c>
      <c r="E125" s="1163" t="s">
        <v>1030</v>
      </c>
      <c r="F125" s="1163" t="s">
        <v>1026</v>
      </c>
      <c r="G125" s="1163" t="s">
        <v>1027</v>
      </c>
      <c r="H125" s="1162" t="s">
        <v>3</v>
      </c>
      <c r="I125" s="1163" t="s">
        <v>504</v>
      </c>
      <c r="J125" s="1163" t="s">
        <v>1028</v>
      </c>
      <c r="K125" s="1163" t="s">
        <v>1029</v>
      </c>
      <c r="R125" s="283"/>
    </row>
    <row r="126" spans="2:18" ht="79.900000000000006" customHeight="1" x14ac:dyDescent="0.25">
      <c r="B126" s="282"/>
      <c r="C126" s="1151" t="str">
        <f>C117</f>
        <v>Indique o tipo de veículo elétrico</v>
      </c>
      <c r="D126" s="896" t="s">
        <v>681</v>
      </c>
      <c r="E126" s="1164">
        <f>IFERROR(F126-G126,"")</f>
        <v>0</v>
      </c>
      <c r="F126" s="1164">
        <f>IFERROR((E117*F117*N117)/1000,"")</f>
        <v>0</v>
      </c>
      <c r="G126" s="1164">
        <f>IFERROR((E117*F117*I117)/1000,"")</f>
        <v>0</v>
      </c>
      <c r="H126" s="896" t="s">
        <v>681</v>
      </c>
      <c r="I126" s="1164">
        <f>IFERROR(J126-K126,"")</f>
        <v>0</v>
      </c>
      <c r="J126" s="1164">
        <f>IFERROR((F126+((E117*F117*'Fatores de Emissão'!$G$9)/1000)),"")</f>
        <v>0</v>
      </c>
      <c r="K126" s="1164">
        <f>IFERROR((G126+(E117*F117*'Fatores de Emissão'!$I$97)/1000),"")</f>
        <v>0</v>
      </c>
      <c r="R126" s="283"/>
    </row>
    <row r="127" spans="2:18" ht="79.900000000000006" customHeight="1" x14ac:dyDescent="0.25">
      <c r="B127" s="282"/>
      <c r="C127" s="1151" t="str">
        <f>C118</f>
        <v>Indique o tipo de veículo elétrico</v>
      </c>
      <c r="D127" s="896" t="s">
        <v>681</v>
      </c>
      <c r="E127" s="1164">
        <f>IFERROR(F127-G127,"")</f>
        <v>0</v>
      </c>
      <c r="F127" s="1164">
        <f>IFERROR((E118*F118*N118)/1000,"")</f>
        <v>0</v>
      </c>
      <c r="G127" s="1164">
        <f>IFERROR((E118*F118*I118)/1000,"")</f>
        <v>0</v>
      </c>
      <c r="H127" s="896" t="s">
        <v>681</v>
      </c>
      <c r="I127" s="1164">
        <f>IFERROR(J127-K127,"")</f>
        <v>0</v>
      </c>
      <c r="J127" s="1164">
        <f>IFERROR((F127+(E118*F118*'Fatores de Emissão'!$G$9)/1000),"")</f>
        <v>0</v>
      </c>
      <c r="K127" s="1164">
        <f>IFERROR((G127+(E118*F118*'Fatores de Emissão'!$I$97)/1000),"")</f>
        <v>0</v>
      </c>
      <c r="R127" s="283"/>
    </row>
    <row r="128" spans="2:18" ht="79.900000000000006" customHeight="1" x14ac:dyDescent="0.25">
      <c r="B128" s="282"/>
      <c r="C128" s="1151" t="str">
        <f>C119</f>
        <v>Indique o tipo de embarcação elétrica</v>
      </c>
      <c r="D128" s="896" t="s">
        <v>681</v>
      </c>
      <c r="E128" s="1164">
        <f>IFERROR(F128-G128,"")</f>
        <v>0</v>
      </c>
      <c r="F128" s="1164">
        <f>IFERROR((E119*F119*N119)/1000,"")</f>
        <v>0</v>
      </c>
      <c r="G128" s="1164">
        <f>IFERROR((E119*F119*I119)/1000,"")</f>
        <v>0</v>
      </c>
      <c r="H128" s="896" t="s">
        <v>681</v>
      </c>
      <c r="I128" s="1164">
        <f>IFERROR(J128-K128,"")</f>
        <v>0</v>
      </c>
      <c r="J128" s="1164">
        <f>IFERROR((F128+(E119*F119*'Fatores de Emissão'!$G$40*125)/1000),"")</f>
        <v>0</v>
      </c>
      <c r="K128" s="1164">
        <f>IFERROR((G128+((E119*F119*'Fatores de Emissão'!$I$60*125)/1000)),"")</f>
        <v>0</v>
      </c>
      <c r="R128" s="283"/>
    </row>
    <row r="129" spans="2:18" ht="79.900000000000006" customHeight="1" x14ac:dyDescent="0.25">
      <c r="B129" s="282"/>
      <c r="C129" s="1151" t="str">
        <f>C120</f>
        <v>Indique o tipo de embarcação elétrica</v>
      </c>
      <c r="D129" s="896" t="s">
        <v>681</v>
      </c>
      <c r="E129" s="1164">
        <f>IFERROR(F129-G129,"")</f>
        <v>0</v>
      </c>
      <c r="F129" s="1164">
        <f>IFERROR((E120*F120*N120)/1000,"")</f>
        <v>0</v>
      </c>
      <c r="G129" s="1164">
        <f>IFERROR((E120*F120*I120)/1000,"")</f>
        <v>0</v>
      </c>
      <c r="H129" s="896" t="s">
        <v>681</v>
      </c>
      <c r="I129" s="1164">
        <f>IFERROR(J129-K129,"")</f>
        <v>0</v>
      </c>
      <c r="J129" s="1164">
        <f>IFERROR((F129+(E120*F120*'Fatores de Emissão'!$G$40*125)/1000),"")</f>
        <v>0</v>
      </c>
      <c r="K129" s="1164">
        <f>IFERROR((G129+((E120*F120*'Fatores de Emissão'!$I$60*125)/1000)),"")</f>
        <v>0</v>
      </c>
      <c r="R129" s="283"/>
    </row>
    <row r="130" spans="2:18" ht="19.899999999999999" customHeight="1" x14ac:dyDescent="0.25">
      <c r="B130" s="282"/>
      <c r="C130" s="1171"/>
      <c r="D130" s="307"/>
      <c r="E130" s="862"/>
      <c r="F130" s="885"/>
      <c r="G130" s="885"/>
      <c r="H130" s="602"/>
      <c r="I130" s="885"/>
      <c r="J130" s="885"/>
      <c r="K130" s="885"/>
      <c r="R130" s="283"/>
    </row>
    <row r="131" spans="2:18" ht="79.900000000000006" customHeight="1" x14ac:dyDescent="0.25">
      <c r="B131" s="282"/>
      <c r="C131" s="905" t="s">
        <v>710</v>
      </c>
      <c r="D131" s="896" t="s">
        <v>681</v>
      </c>
      <c r="E131" s="899">
        <f>IFERROR(F131-G131,"")</f>
        <v>0</v>
      </c>
      <c r="F131" s="903">
        <f>IFERROR(SUM(F126:F129),"")</f>
        <v>0</v>
      </c>
      <c r="G131" s="904">
        <f>IFERROR(SUM(G126:G129),"")</f>
        <v>0</v>
      </c>
      <c r="H131" s="896" t="s">
        <v>681</v>
      </c>
      <c r="I131" s="899">
        <f>IFERROR(J131-K131,"")</f>
        <v>0</v>
      </c>
      <c r="J131" s="903">
        <f>IFERROR(SUM(J126:J129),"")</f>
        <v>0</v>
      </c>
      <c r="K131" s="904">
        <f>IFERROR(SUM(K126:K129),"")</f>
        <v>0</v>
      </c>
      <c r="R131" s="283"/>
    </row>
    <row r="132" spans="2:18" ht="79.900000000000006" customHeight="1" x14ac:dyDescent="0.25">
      <c r="B132" s="282"/>
      <c r="C132" s="905" t="s">
        <v>707</v>
      </c>
      <c r="D132" s="896" t="s">
        <v>681</v>
      </c>
      <c r="E132" s="899">
        <f>-E131</f>
        <v>0</v>
      </c>
      <c r="F132" s="1361"/>
      <c r="G132" s="1362"/>
      <c r="H132" s="1362"/>
      <c r="I132" s="1362"/>
      <c r="J132" s="1362"/>
      <c r="K132" s="1363"/>
      <c r="R132" s="283"/>
    </row>
    <row r="133" spans="2:18" ht="15" customHeight="1" x14ac:dyDescent="0.25">
      <c r="B133" s="467"/>
      <c r="C133" s="1388"/>
      <c r="D133" s="1388"/>
      <c r="E133" s="1388"/>
      <c r="F133" s="891"/>
      <c r="G133" s="891"/>
      <c r="H133" s="877"/>
      <c r="I133" s="891"/>
      <c r="J133" s="891"/>
      <c r="K133" s="891"/>
      <c r="L133" s="880"/>
      <c r="M133" s="880"/>
      <c r="N133" s="880"/>
      <c r="O133" s="880"/>
      <c r="P133" s="880"/>
      <c r="Q133" s="880"/>
      <c r="R133" s="881"/>
    </row>
  </sheetData>
  <sheetProtection algorithmName="SHA-512" hashValue="wWVjq5eAbLu2bmAS756z2srnEAtQPKpggdzdWn7+GVJZBY6kxY6SN9813TXuzFewIy7CZpZTSVpWv2OqdUhSOA==" saltValue="hJIUr1M+hzDmqQ2Gii9uUQ==" spinCount="100000" sheet="1" selectLockedCells="1"/>
  <mergeCells count="181">
    <mergeCell ref="D81:G81"/>
    <mergeCell ref="H81:K81"/>
    <mergeCell ref="H98:L98"/>
    <mergeCell ref="M71:Q71"/>
    <mergeCell ref="K72:L72"/>
    <mergeCell ref="N72:O72"/>
    <mergeCell ref="P72:Q72"/>
    <mergeCell ref="K73:L73"/>
    <mergeCell ref="N73:O73"/>
    <mergeCell ref="P73:Q73"/>
    <mergeCell ref="K74:L74"/>
    <mergeCell ref="N74:O74"/>
    <mergeCell ref="P74:Q74"/>
    <mergeCell ref="K22:L22"/>
    <mergeCell ref="N22:O22"/>
    <mergeCell ref="P22:Q22"/>
    <mergeCell ref="C17:D17"/>
    <mergeCell ref="C20:D20"/>
    <mergeCell ref="C21:D21"/>
    <mergeCell ref="C22:D22"/>
    <mergeCell ref="M17:Q17"/>
    <mergeCell ref="K18:L18"/>
    <mergeCell ref="N18:O18"/>
    <mergeCell ref="P18:Q18"/>
    <mergeCell ref="I20:J20"/>
    <mergeCell ref="K20:L20"/>
    <mergeCell ref="N20:O20"/>
    <mergeCell ref="P20:Q20"/>
    <mergeCell ref="I21:J21"/>
    <mergeCell ref="K21:L21"/>
    <mergeCell ref="N21:O21"/>
    <mergeCell ref="P21:Q21"/>
    <mergeCell ref="C19:D19"/>
    <mergeCell ref="I19:J19"/>
    <mergeCell ref="K19:L19"/>
    <mergeCell ref="N19:O19"/>
    <mergeCell ref="P19:Q19"/>
    <mergeCell ref="G4:M4"/>
    <mergeCell ref="N48:O48"/>
    <mergeCell ref="P48:Q48"/>
    <mergeCell ref="N49:O49"/>
    <mergeCell ref="P49:Q49"/>
    <mergeCell ref="C13:P13"/>
    <mergeCell ref="N40:Q40"/>
    <mergeCell ref="P45:Q45"/>
    <mergeCell ref="N46:O46"/>
    <mergeCell ref="P46:Q46"/>
    <mergeCell ref="N47:O47"/>
    <mergeCell ref="P47:Q47"/>
    <mergeCell ref="K43:L43"/>
    <mergeCell ref="K45:L45"/>
    <mergeCell ref="K46:L46"/>
    <mergeCell ref="K47:L47"/>
    <mergeCell ref="K48:L48"/>
    <mergeCell ref="G5:H5"/>
    <mergeCell ref="G6:H6"/>
    <mergeCell ref="G7:H7"/>
    <mergeCell ref="I7:K7"/>
    <mergeCell ref="L7:M7"/>
    <mergeCell ref="I5:M5"/>
    <mergeCell ref="I6:M6"/>
    <mergeCell ref="G9:H9"/>
    <mergeCell ref="I9:K9"/>
    <mergeCell ref="L9:M9"/>
    <mergeCell ref="I18:J18"/>
    <mergeCell ref="H26:K26"/>
    <mergeCell ref="H17:L17"/>
    <mergeCell ref="C42:D42"/>
    <mergeCell ref="R45:R47"/>
    <mergeCell ref="C39:E39"/>
    <mergeCell ref="I43:J43"/>
    <mergeCell ref="H42:L42"/>
    <mergeCell ref="I44:J44"/>
    <mergeCell ref="I45:J45"/>
    <mergeCell ref="C44:D44"/>
    <mergeCell ref="C45:D45"/>
    <mergeCell ref="C46:D46"/>
    <mergeCell ref="C47:D47"/>
    <mergeCell ref="N43:O43"/>
    <mergeCell ref="P43:Q43"/>
    <mergeCell ref="N44:O44"/>
    <mergeCell ref="P44:Q44"/>
    <mergeCell ref="N45:O45"/>
    <mergeCell ref="D26:G26"/>
    <mergeCell ref="I22:J22"/>
    <mergeCell ref="C100:D100"/>
    <mergeCell ref="C98:D98"/>
    <mergeCell ref="C48:D48"/>
    <mergeCell ref="C49:D49"/>
    <mergeCell ref="K44:L44"/>
    <mergeCell ref="I49:J49"/>
    <mergeCell ref="I46:J46"/>
    <mergeCell ref="I47:J47"/>
    <mergeCell ref="I48:J48"/>
    <mergeCell ref="C67:P67"/>
    <mergeCell ref="K49:L49"/>
    <mergeCell ref="P51:Q51"/>
    <mergeCell ref="D53:G53"/>
    <mergeCell ref="H53:K53"/>
    <mergeCell ref="C71:D71"/>
    <mergeCell ref="C73:D73"/>
    <mergeCell ref="C74:D74"/>
    <mergeCell ref="C75:D75"/>
    <mergeCell ref="C76:D76"/>
    <mergeCell ref="C77:D77"/>
    <mergeCell ref="M98:Q98"/>
    <mergeCell ref="K99:L99"/>
    <mergeCell ref="N99:O99"/>
    <mergeCell ref="P99:Q99"/>
    <mergeCell ref="C133:E133"/>
    <mergeCell ref="C108:E108"/>
    <mergeCell ref="C112:E112"/>
    <mergeCell ref="C111:P111"/>
    <mergeCell ref="D104:G104"/>
    <mergeCell ref="H104:K104"/>
    <mergeCell ref="M115:Q115"/>
    <mergeCell ref="K116:L116"/>
    <mergeCell ref="N116:O116"/>
    <mergeCell ref="P116:Q116"/>
    <mergeCell ref="K117:L117"/>
    <mergeCell ref="N117:O117"/>
    <mergeCell ref="P117:Q117"/>
    <mergeCell ref="K118:L118"/>
    <mergeCell ref="N118:O118"/>
    <mergeCell ref="P118:Q118"/>
    <mergeCell ref="K120:L120"/>
    <mergeCell ref="N120:O120"/>
    <mergeCell ref="P120:Q120"/>
    <mergeCell ref="I119:J119"/>
    <mergeCell ref="N119:O119"/>
    <mergeCell ref="K119:L119"/>
    <mergeCell ref="D124:G124"/>
    <mergeCell ref="H124:K124"/>
    <mergeCell ref="P119:Q119"/>
    <mergeCell ref="C43:D43"/>
    <mergeCell ref="F107:K107"/>
    <mergeCell ref="C115:D115"/>
    <mergeCell ref="C116:D116"/>
    <mergeCell ref="C117:D117"/>
    <mergeCell ref="C118:D118"/>
    <mergeCell ref="C119:D119"/>
    <mergeCell ref="C120:D120"/>
    <mergeCell ref="P100:Q100"/>
    <mergeCell ref="I118:J118"/>
    <mergeCell ref="I120:J120"/>
    <mergeCell ref="I116:J116"/>
    <mergeCell ref="I117:J117"/>
    <mergeCell ref="I114:J114"/>
    <mergeCell ref="H115:L115"/>
    <mergeCell ref="I99:J99"/>
    <mergeCell ref="I100:J100"/>
    <mergeCell ref="K100:L100"/>
    <mergeCell ref="N100:O100"/>
    <mergeCell ref="N75:O75"/>
    <mergeCell ref="P75:Q75"/>
    <mergeCell ref="K76:L76"/>
    <mergeCell ref="N76:O76"/>
    <mergeCell ref="G8:H8"/>
    <mergeCell ref="I8:K8"/>
    <mergeCell ref="L8:M8"/>
    <mergeCell ref="F132:K132"/>
    <mergeCell ref="F90:K90"/>
    <mergeCell ref="F63:K63"/>
    <mergeCell ref="C18:D18"/>
    <mergeCell ref="C72:D72"/>
    <mergeCell ref="C99:D99"/>
    <mergeCell ref="C38:Q38"/>
    <mergeCell ref="M42:Q42"/>
    <mergeCell ref="P76:Q76"/>
    <mergeCell ref="K77:L77"/>
    <mergeCell ref="N77:O77"/>
    <mergeCell ref="P77:Q77"/>
    <mergeCell ref="I77:J77"/>
    <mergeCell ref="I74:J74"/>
    <mergeCell ref="C94:P94"/>
    <mergeCell ref="I75:J75"/>
    <mergeCell ref="I76:J76"/>
    <mergeCell ref="I72:J72"/>
    <mergeCell ref="I73:J73"/>
    <mergeCell ref="K75:L75"/>
    <mergeCell ref="H71:L71"/>
  </mergeCells>
  <conditionalFormatting sqref="E28">
    <cfRule type="expression" dxfId="214" priority="10">
      <formula>IF($E$19,TRUE,"")</formula>
    </cfRule>
  </conditionalFormatting>
  <conditionalFormatting sqref="E29">
    <cfRule type="expression" dxfId="213" priority="46">
      <formula>IF($E$20,TRUE,"")</formula>
    </cfRule>
  </conditionalFormatting>
  <conditionalFormatting sqref="E30">
    <cfRule type="expression" dxfId="212" priority="45">
      <formula>IF($E$21,TRUE,"")</formula>
    </cfRule>
  </conditionalFormatting>
  <conditionalFormatting sqref="E31">
    <cfRule type="expression" dxfId="211" priority="44">
      <formula>IF($E$22,TRUE,"")</formula>
    </cfRule>
  </conditionalFormatting>
  <conditionalFormatting sqref="E55:E60">
    <cfRule type="expression" dxfId="210" priority="168">
      <formula>IF(E44,TRUE, "")</formula>
    </cfRule>
  </conditionalFormatting>
  <conditionalFormatting sqref="E83:E87">
    <cfRule type="expression" dxfId="209" priority="17">
      <formula>IF(E73,TRUE,"")</formula>
    </cfRule>
  </conditionalFormatting>
  <conditionalFormatting sqref="E106">
    <cfRule type="expression" dxfId="208" priority="29">
      <formula>IF($E$100,TRUE,"")</formula>
    </cfRule>
  </conditionalFormatting>
  <conditionalFormatting sqref="E126:E129">
    <cfRule type="expression" dxfId="207" priority="20">
      <formula>IF(E117,TRUE,"")</formula>
    </cfRule>
  </conditionalFormatting>
  <conditionalFormatting sqref="F28">
    <cfRule type="expression" dxfId="204" priority="43">
      <formula>IF($E$19,TRUE,"")</formula>
    </cfRule>
  </conditionalFormatting>
  <conditionalFormatting sqref="F29">
    <cfRule type="expression" dxfId="203" priority="9">
      <formula>IF($E$20,TRUE,"")</formula>
    </cfRule>
  </conditionalFormatting>
  <conditionalFormatting sqref="F30">
    <cfRule type="expression" dxfId="202" priority="42">
      <formula>IF($E$21,TRUE,"")</formula>
    </cfRule>
  </conditionalFormatting>
  <conditionalFormatting sqref="F31">
    <cfRule type="expression" dxfId="201" priority="41">
      <formula>IF($E$22,TRUE,"")</formula>
    </cfRule>
  </conditionalFormatting>
  <conditionalFormatting sqref="F55:F60">
    <cfRule type="expression" dxfId="200" priority="69">
      <formula>IF(E44,TRUE,"")</formula>
    </cfRule>
  </conditionalFormatting>
  <conditionalFormatting sqref="F83:F87">
    <cfRule type="expression" dxfId="199" priority="16">
      <formula>IF(E73,TRUE,"")</formula>
    </cfRule>
  </conditionalFormatting>
  <conditionalFormatting sqref="F106">
    <cfRule type="expression" dxfId="198" priority="28">
      <formula>IF($E$100,TRUE,"")</formula>
    </cfRule>
  </conditionalFormatting>
  <conditionalFormatting sqref="F114">
    <cfRule type="cellIs" dxfId="197" priority="156" operator="notBetween">
      <formula>0</formula>
      <formula>0.3</formula>
    </cfRule>
  </conditionalFormatting>
  <conditionalFormatting sqref="F126:F129">
    <cfRule type="expression" dxfId="196" priority="22">
      <formula>IF(E117,TRUE,"")</formula>
    </cfRule>
  </conditionalFormatting>
  <conditionalFormatting sqref="G28">
    <cfRule type="expression" dxfId="191" priority="40">
      <formula>IF($E$19,TRUE,"")</formula>
    </cfRule>
  </conditionalFormatting>
  <conditionalFormatting sqref="G29">
    <cfRule type="expression" dxfId="190" priority="8">
      <formula>IF($E$20,TRUE,"")</formula>
    </cfRule>
  </conditionalFormatting>
  <conditionalFormatting sqref="G30">
    <cfRule type="expression" dxfId="189" priority="39">
      <formula>IF($E$21,TRUE,"")</formula>
    </cfRule>
  </conditionalFormatting>
  <conditionalFormatting sqref="G31">
    <cfRule type="expression" dxfId="188" priority="38">
      <formula>IF($E$22,TRUE,"")</formula>
    </cfRule>
  </conditionalFormatting>
  <conditionalFormatting sqref="G55:G60">
    <cfRule type="expression" dxfId="187" priority="68">
      <formula>IF(E44, TRUE, "")</formula>
    </cfRule>
  </conditionalFormatting>
  <conditionalFormatting sqref="G83:G87">
    <cfRule type="expression" dxfId="182" priority="15">
      <formula>IF(E73,TRUE,"")</formula>
    </cfRule>
  </conditionalFormatting>
  <conditionalFormatting sqref="G106">
    <cfRule type="expression" dxfId="181" priority="27">
      <formula>IF($E$100,TRUE,"")</formula>
    </cfRule>
  </conditionalFormatting>
  <conditionalFormatting sqref="G126:G129">
    <cfRule type="expression" dxfId="178" priority="21">
      <formula>IF(E117,TRUE,"")</formula>
    </cfRule>
  </conditionalFormatting>
  <conditionalFormatting sqref="I19:I22">
    <cfRule type="expression" dxfId="177" priority="100">
      <formula>IF(E19, TRUE, "")</formula>
    </cfRule>
  </conditionalFormatting>
  <conditionalFormatting sqref="I28">
    <cfRule type="expression" dxfId="176" priority="31">
      <formula>IF($E$19,TRUE)</formula>
    </cfRule>
  </conditionalFormatting>
  <conditionalFormatting sqref="I29">
    <cfRule type="expression" dxfId="175" priority="7">
      <formula>IF($E$20,TRUE,"")</formula>
    </cfRule>
  </conditionalFormatting>
  <conditionalFormatting sqref="I30">
    <cfRule type="expression" dxfId="174" priority="161">
      <formula>IF($E$21,TRUE, "")</formula>
    </cfRule>
  </conditionalFormatting>
  <conditionalFormatting sqref="I31">
    <cfRule type="expression" dxfId="173" priority="37">
      <formula>IF($E$22,TRUE,"")</formula>
    </cfRule>
  </conditionalFormatting>
  <conditionalFormatting sqref="I44:I49">
    <cfRule type="expression" dxfId="172" priority="139">
      <formula>IF(E44, TRUE, "")</formula>
    </cfRule>
  </conditionalFormatting>
  <conditionalFormatting sqref="I55:I60">
    <cfRule type="expression" dxfId="171" priority="58">
      <formula>IF(E44,TRUE,"")</formula>
    </cfRule>
  </conditionalFormatting>
  <conditionalFormatting sqref="I73:I77">
    <cfRule type="expression" dxfId="170" priority="101">
      <formula>IF(E73, TRUE, "")</formula>
    </cfRule>
  </conditionalFormatting>
  <conditionalFormatting sqref="I83:I87">
    <cfRule type="expression" dxfId="169" priority="14">
      <formula>IF(E73,TRUE,"")</formula>
    </cfRule>
  </conditionalFormatting>
  <conditionalFormatting sqref="I100">
    <cfRule type="expression" dxfId="168" priority="93">
      <formula>IF(E100, TRUE, "")</formula>
    </cfRule>
  </conditionalFormatting>
  <conditionalFormatting sqref="I106">
    <cfRule type="expression" dxfId="167" priority="26">
      <formula>IF($E$100,TRUE,"")</formula>
    </cfRule>
  </conditionalFormatting>
  <conditionalFormatting sqref="I117:I120">
    <cfRule type="expression" dxfId="166" priority="84">
      <formula>IF(E117, TRUE, "")</formula>
    </cfRule>
  </conditionalFormatting>
  <conditionalFormatting sqref="I126:I129">
    <cfRule type="expression" dxfId="165" priority="81">
      <formula>IF(E117,TRUE, "")</formula>
    </cfRule>
  </conditionalFormatting>
  <conditionalFormatting sqref="J28">
    <cfRule type="expression" dxfId="164" priority="36">
      <formula>IF($E$19,TRUE,"")</formula>
    </cfRule>
  </conditionalFormatting>
  <conditionalFormatting sqref="J29">
    <cfRule type="expression" dxfId="163" priority="6">
      <formula>IF($E$20,TRUE,"")</formula>
    </cfRule>
  </conditionalFormatting>
  <conditionalFormatting sqref="J30">
    <cfRule type="expression" dxfId="162" priority="35">
      <formula>IF($E$21,TRUE,"")</formula>
    </cfRule>
  </conditionalFormatting>
  <conditionalFormatting sqref="J31">
    <cfRule type="expression" dxfId="161" priority="34">
      <formula>IF($E$22,TRUE,"")</formula>
    </cfRule>
  </conditionalFormatting>
  <conditionalFormatting sqref="J55:J57">
    <cfRule type="expression" dxfId="160" priority="47">
      <formula>IF(E44,TRUE,"")</formula>
    </cfRule>
  </conditionalFormatting>
  <conditionalFormatting sqref="J58">
    <cfRule type="expression" dxfId="159" priority="55">
      <formula>IF(E47, TRUE,"")</formula>
    </cfRule>
  </conditionalFormatting>
  <conditionalFormatting sqref="J59:J60">
    <cfRule type="expression" dxfId="158" priority="51">
      <formula>IF(E48,TRUE,"")</formula>
    </cfRule>
  </conditionalFormatting>
  <conditionalFormatting sqref="J83:J87">
    <cfRule type="expression" dxfId="157" priority="13">
      <formula>IF(E73,TRUE,"")</formula>
    </cfRule>
  </conditionalFormatting>
  <conditionalFormatting sqref="J106">
    <cfRule type="expression" dxfId="156" priority="25">
      <formula>IF($E$100,TRUE,"")</formula>
    </cfRule>
  </conditionalFormatting>
  <conditionalFormatting sqref="J126:J129">
    <cfRule type="expression" dxfId="155" priority="18">
      <formula>IF(E117,TRUE,"")</formula>
    </cfRule>
  </conditionalFormatting>
  <conditionalFormatting sqref="K19:K22">
    <cfRule type="expression" dxfId="154" priority="80">
      <formula>IF(E19, TRUE, "")</formula>
    </cfRule>
  </conditionalFormatting>
  <conditionalFormatting sqref="K28">
    <cfRule type="expression" dxfId="153" priority="33">
      <formula>IF($E$19,TRUE,"")</formula>
    </cfRule>
  </conditionalFormatting>
  <conditionalFormatting sqref="K29">
    <cfRule type="expression" dxfId="152" priority="5">
      <formula>IF($E$20,TRUE,"")</formula>
    </cfRule>
  </conditionalFormatting>
  <conditionalFormatting sqref="K30">
    <cfRule type="expression" dxfId="151" priority="3">
      <formula>IF(E21, TRUE, "")</formula>
    </cfRule>
  </conditionalFormatting>
  <conditionalFormatting sqref="K31">
    <cfRule type="expression" dxfId="150" priority="30">
      <formula>IF($E$22,TRUE,"")</formula>
    </cfRule>
  </conditionalFormatting>
  <conditionalFormatting sqref="K44:K49">
    <cfRule type="expression" dxfId="149" priority="78">
      <formula>IF(E44, TRUE, "")</formula>
    </cfRule>
  </conditionalFormatting>
  <conditionalFormatting sqref="K55:K60">
    <cfRule type="expression" dxfId="148" priority="48">
      <formula>IF(E44,TRUE,"")</formula>
    </cfRule>
  </conditionalFormatting>
  <conditionalFormatting sqref="K73:K77">
    <cfRule type="expression" dxfId="147" priority="76">
      <formula>IF(E73, TRUE, "")</formula>
    </cfRule>
  </conditionalFormatting>
  <conditionalFormatting sqref="K83:K87">
    <cfRule type="expression" dxfId="146" priority="12">
      <formula>IF(E73,TRUE,"")</formula>
    </cfRule>
  </conditionalFormatting>
  <conditionalFormatting sqref="K100">
    <cfRule type="expression" dxfId="145" priority="73">
      <formula>IF(E100, TRUE, "")</formula>
    </cfRule>
  </conditionalFormatting>
  <conditionalFormatting sqref="K106">
    <cfRule type="expression" dxfId="144" priority="24">
      <formula>IF($E$100,TRUE,"")</formula>
    </cfRule>
  </conditionalFormatting>
  <conditionalFormatting sqref="K117:K120">
    <cfRule type="expression" dxfId="143" priority="71">
      <formula>IF(E117, TRUE, "")</formula>
    </cfRule>
  </conditionalFormatting>
  <conditionalFormatting sqref="K126:K129">
    <cfRule type="expression" dxfId="142" priority="19">
      <formula>IF(E117,TRUE,"")</formula>
    </cfRule>
  </conditionalFormatting>
  <conditionalFormatting sqref="N19">
    <cfRule type="expression" dxfId="136" priority="4">
      <formula>IF(E19, TRUE, "")</formula>
    </cfRule>
  </conditionalFormatting>
  <conditionalFormatting sqref="N20:N22">
    <cfRule type="expression" dxfId="135" priority="99">
      <formula>IF(E20, TRUE, "")</formula>
    </cfRule>
  </conditionalFormatting>
  <conditionalFormatting sqref="N44:N49">
    <cfRule type="expression" dxfId="134" priority="145">
      <formula>IF(E44, TRUE, "")</formula>
    </cfRule>
  </conditionalFormatting>
  <conditionalFormatting sqref="N73:N77">
    <cfRule type="expression" dxfId="133" priority="106">
      <formula>IF(E73, TRUE, "")</formula>
    </cfRule>
  </conditionalFormatting>
  <conditionalFormatting sqref="N100">
    <cfRule type="expression" dxfId="132" priority="94">
      <formula>IF(E100, TRUE, "")</formula>
    </cfRule>
  </conditionalFormatting>
  <conditionalFormatting sqref="N117:N120">
    <cfRule type="expression" dxfId="131" priority="87">
      <formula>IF(E117, TRUE, "")</formula>
    </cfRule>
  </conditionalFormatting>
  <conditionalFormatting sqref="P19">
    <cfRule type="expression" dxfId="130" priority="2">
      <formula>IF(E19, TRUE, "")</formula>
    </cfRule>
  </conditionalFormatting>
  <conditionalFormatting sqref="P20:P22">
    <cfRule type="expression" dxfId="129" priority="79">
      <formula>IF(E20, TRUE, "")</formula>
    </cfRule>
  </conditionalFormatting>
  <conditionalFormatting sqref="P44:P49">
    <cfRule type="expression" dxfId="128" priority="77">
      <formula>IF(E44, TRUE, "")</formula>
    </cfRule>
  </conditionalFormatting>
  <conditionalFormatting sqref="P73:P77">
    <cfRule type="expression" dxfId="127" priority="74">
      <formula>IF(E73, TRUE, "")</formula>
    </cfRule>
  </conditionalFormatting>
  <conditionalFormatting sqref="P100">
    <cfRule type="expression" dxfId="126" priority="72">
      <formula>IF(E100, TRUE, "")</formula>
    </cfRule>
  </conditionalFormatting>
  <conditionalFormatting sqref="P117:P120">
    <cfRule type="expression" dxfId="125" priority="70">
      <formula>IF(E117, TRUE, "")</formula>
    </cfRule>
  </conditionalFormatting>
  <dataValidations count="1">
    <dataValidation errorStyle="warning" allowBlank="1" showInputMessage="1" showErrorMessage="1" error="Não Introduzir valor" sqref="F44:F50 K121 K78 F117:G121 K50 K23 K101 F73:G78 G50 G23 G101 F100:F101 F19:F23" xr:uid="{1780B7A5-A062-4B3C-96BA-E40C29883C86}"/>
  </dataValidations>
  <hyperlinks>
    <hyperlink ref="L9:M9" location="RE_resultados!A1" display="RE_resultados" xr:uid="{D91B6769-D0EF-46A1-BE04-9F106D8C491D}"/>
    <hyperlink ref="L7:M7" location="'Cálculos adicionais_utilizador'!A1" display="Cálculos adicionais_utilizador" xr:uid="{DC952EA9-175E-4B0E-A692-BDD3079CDF87}"/>
    <hyperlink ref="L8:M8" location="'Fatores de Emissão'!A1" display="Fatores de Emissão" xr:uid="{226E9F57-BF74-4424-A5B1-36A51869CE40}"/>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 id="{9A4A187A-8C1A-4510-9FEB-FC9128D23B3F}">
            <xm:f>IF($E$45=FAListas!$C$34,TRUE,IF($E$45=FAListas!$C$35, TRUE))</xm:f>
            <x14:dxf>
              <fill>
                <patternFill>
                  <bgColor theme="1"/>
                </patternFill>
              </fill>
            </x14:dxf>
          </x14:cfRule>
          <xm:sqref>F19</xm:sqref>
        </x14:conditionalFormatting>
        <x14:conditionalFormatting xmlns:xm="http://schemas.microsoft.com/office/excel/2006/main">
          <x14:cfRule type="expression" priority="1" id="{0B5BFD98-7A2F-498B-99CF-55062ADAA2B8}">
            <xm:f>IF($E$45=FAListas!$C$34,TRUE,IF($E$45=FAListas!$C$35, TRUE))</xm:f>
            <x14:dxf>
              <fill>
                <patternFill>
                  <bgColor theme="1"/>
                </patternFill>
              </fill>
            </x14:dxf>
          </x14:cfRule>
          <xm:sqref>F21</xm:sqref>
        </x14:conditionalFormatting>
        <x14:conditionalFormatting xmlns:xm="http://schemas.microsoft.com/office/excel/2006/main">
          <x14:cfRule type="expression" priority="165" id="{9D9BE503-6796-4843-BFC8-96B0138FBD47}">
            <xm:f>$E$49=FAListas!$C$50</xm:f>
            <x14:dxf>
              <fill>
                <patternFill>
                  <bgColor theme="1"/>
                </patternFill>
              </fill>
            </x14:dxf>
          </x14:cfRule>
          <xm:sqref>F23:G23 F50:G50</xm:sqref>
        </x14:conditionalFormatting>
        <x14:conditionalFormatting xmlns:xm="http://schemas.microsoft.com/office/excel/2006/main">
          <x14:cfRule type="expression" priority="189" id="{04045C11-5FDD-412D-B4DC-19E452B4E142}">
            <xm:f>$E$49=FAListas!$C$50</xm:f>
            <x14:dxf>
              <fill>
                <patternFill>
                  <bgColor theme="1"/>
                </patternFill>
              </fill>
            </x14:dxf>
          </x14:cfRule>
          <xm:sqref>F78:G78</xm:sqref>
        </x14:conditionalFormatting>
        <x14:conditionalFormatting xmlns:xm="http://schemas.microsoft.com/office/excel/2006/main">
          <x14:cfRule type="expression" priority="177" id="{18E414CB-E8C7-4BBF-8804-E6D11798FE1A}">
            <xm:f>$E$49=FAListas!$C$50</xm:f>
            <x14:dxf>
              <fill>
                <patternFill>
                  <bgColor theme="1"/>
                </patternFill>
              </fill>
            </x14:dxf>
          </x14:cfRule>
          <xm:sqref>F101:G101</xm:sqref>
        </x14:conditionalFormatting>
        <x14:conditionalFormatting xmlns:xm="http://schemas.microsoft.com/office/excel/2006/main">
          <x14:cfRule type="expression" priority="155" id="{A04C53B5-5A74-4DFE-9392-DCD8C193E7AF}">
            <xm:f>$E$49=FAListas!$C$50</xm:f>
            <x14:dxf>
              <fill>
                <patternFill>
                  <bgColor theme="1"/>
                </patternFill>
              </fill>
            </x14:dxf>
          </x14:cfRule>
          <xm:sqref>F121:G121</xm:sqref>
        </x14:conditionalFormatting>
        <x14:conditionalFormatting xmlns:xm="http://schemas.microsoft.com/office/excel/2006/main">
          <x14:cfRule type="expression" priority="112" id="{ED52E531-5911-4FBC-9F04-EC1CA0FF9CC1}">
            <xm:f>IF($E$45=FAListas!$C$34,TRUE,IF($E$45=FAListas!$C$35, TRUE))</xm:f>
            <x14:dxf>
              <fill>
                <patternFill patternType="solid">
                  <fgColor rgb="FFFF0000"/>
                  <bgColor theme="1"/>
                </patternFill>
              </fill>
            </x14:dxf>
          </x14:cfRule>
          <xm:sqref>G74</xm:sqref>
        </x14:conditionalFormatting>
        <x14:conditionalFormatting xmlns:xm="http://schemas.microsoft.com/office/excel/2006/main">
          <x14:cfRule type="expression" priority="110" id="{0AA62256-33C9-4246-8AB8-CE3B782B800A}">
            <xm:f>IF($E$46=FAListas!$C$38,TRUE,IF($E$46=FAListas!$C$39, TRUE))</xm:f>
            <x14:dxf>
              <fill>
                <patternFill>
                  <bgColor theme="1"/>
                </patternFill>
              </fill>
            </x14:dxf>
          </x14:cfRule>
          <xm:sqref>G75</xm:sqref>
        </x14:conditionalFormatting>
        <x14:conditionalFormatting xmlns:xm="http://schemas.microsoft.com/office/excel/2006/main">
          <x14:cfRule type="expression" priority="109" id="{33D54F37-A084-4807-885D-FAF904F9D56B}">
            <xm:f>$E$47=FAListas!$C$42</xm:f>
            <x14:dxf>
              <fill>
                <patternFill>
                  <bgColor theme="1"/>
                </patternFill>
              </fill>
            </x14:dxf>
          </x14:cfRule>
          <xm:sqref>G76</xm:sqref>
        </x14:conditionalFormatting>
        <x14:conditionalFormatting xmlns:xm="http://schemas.microsoft.com/office/excel/2006/main">
          <x14:cfRule type="expression" priority="108" id="{FC219C0B-0A04-4EAA-B50F-DF4143D378C2}">
            <xm:f>IF($E$48=FAListas!$C$38,TRUE,IF($E$48=FAListas!$C$39, TRUE))</xm:f>
            <x14:dxf>
              <fill>
                <patternFill>
                  <bgColor theme="1"/>
                </patternFill>
              </fill>
            </x14:dxf>
          </x14:cfRule>
          <xm:sqref>G77</xm:sqref>
        </x14:conditionalFormatting>
        <x14:conditionalFormatting xmlns:xm="http://schemas.microsoft.com/office/excel/2006/main">
          <x14:cfRule type="expression" priority="91" id="{E5B211ED-EF7B-4111-B680-9E4F514F2C3C}">
            <xm:f>IF($E$45=FAListas!$C$34,TRUE,IF($E$45=FAListas!$C$35, TRUE))</xm:f>
            <x14:dxf>
              <fill>
                <patternFill patternType="solid">
                  <fgColor rgb="FFFF0000"/>
                  <bgColor theme="1"/>
                </patternFill>
              </fill>
            </x14:dxf>
          </x14:cfRule>
          <xm:sqref>G118:G119</xm:sqref>
        </x14:conditionalFormatting>
        <x14:conditionalFormatting xmlns:xm="http://schemas.microsoft.com/office/excel/2006/main">
          <x14:cfRule type="expression" priority="89" id="{1D6A7E16-0FDD-4D7D-9A75-65D365BE6990}">
            <xm:f>IF($E$46=FAListas!$C$38,TRUE,IF($E$46=FAListas!$C$39, TRUE))</xm:f>
            <x14:dxf>
              <fill>
                <patternFill>
                  <bgColor theme="1"/>
                </patternFill>
              </fill>
            </x14:dxf>
          </x14:cfRule>
          <xm:sqref>G120</xm:sqref>
        </x14:conditionalFormatting>
        <x14:conditionalFormatting xmlns:xm="http://schemas.microsoft.com/office/excel/2006/main">
          <x14:cfRule type="expression" priority="163" id="{93CD19A5-0356-4F63-8B49-87F5625E2DE6}">
            <xm:f>$I$44=FAListas!$C$31</xm:f>
            <x14:dxf>
              <fill>
                <patternFill patternType="solid">
                  <fgColor rgb="FFFF0000"/>
                  <bgColor theme="1"/>
                </patternFill>
              </fill>
            </x14:dxf>
          </x14:cfRule>
          <xm:sqref>K23:L23</xm:sqref>
        </x14:conditionalFormatting>
        <x14:conditionalFormatting xmlns:xm="http://schemas.microsoft.com/office/excel/2006/main">
          <x14:cfRule type="expression" priority="123" id="{28D35F15-D7BE-4593-ABB7-609801895FE7}">
            <xm:f>$I$44=FAListas!$C$31</xm:f>
            <x14:dxf>
              <fill>
                <patternFill patternType="solid">
                  <fgColor rgb="FFFF0000"/>
                  <bgColor theme="1"/>
                </patternFill>
              </fill>
            </x14:dxf>
          </x14:cfRule>
          <xm:sqref>K50:L50</xm:sqref>
        </x14:conditionalFormatting>
        <x14:conditionalFormatting xmlns:xm="http://schemas.microsoft.com/office/excel/2006/main">
          <x14:cfRule type="expression" priority="187" id="{8675B475-0D32-4D2D-BAFC-25EC963B02A9}">
            <xm:f>$I$44=FAListas!$C$31</xm:f>
            <x14:dxf>
              <fill>
                <patternFill patternType="solid">
                  <fgColor rgb="FFFF0000"/>
                  <bgColor theme="1"/>
                </patternFill>
              </fill>
            </x14:dxf>
          </x14:cfRule>
          <xm:sqref>K78:L78</xm:sqref>
        </x14:conditionalFormatting>
        <x14:conditionalFormatting xmlns:xm="http://schemas.microsoft.com/office/excel/2006/main">
          <x14:cfRule type="expression" priority="175" id="{CE98022E-9ABD-4EF8-AECF-59D5E1174286}">
            <xm:f>$I$44=FAListas!$C$31</xm:f>
            <x14:dxf>
              <fill>
                <patternFill patternType="solid">
                  <fgColor rgb="FFFF0000"/>
                  <bgColor theme="1"/>
                </patternFill>
              </fill>
            </x14:dxf>
          </x14:cfRule>
          <xm:sqref>K101:L101</xm:sqref>
        </x14:conditionalFormatting>
        <x14:conditionalFormatting xmlns:xm="http://schemas.microsoft.com/office/excel/2006/main">
          <x14:cfRule type="expression" priority="154" id="{60D4C823-27EC-4735-950A-DE6FC6AFDFEF}">
            <xm:f>$I$44=FAListas!$C$31</xm:f>
            <x14:dxf>
              <fill>
                <patternFill patternType="solid">
                  <fgColor rgb="FFFF0000"/>
                  <bgColor theme="1"/>
                </patternFill>
              </fill>
            </x14:dxf>
          </x14:cfRule>
          <xm:sqref>K121:L121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F24AAA5-952C-4821-BFB5-E38DF8E7660A}">
          <x14:formula1>
            <xm:f>FAListas!$C$55:$C$57</xm:f>
          </x14:formula1>
          <xm:sqref>E52 E25 E103</xm:sqref>
        </x14:dataValidation>
        <x14:dataValidation type="list" errorStyle="warning" allowBlank="1" showInputMessage="1" showErrorMessage="1" error="Não Introduzir valor" xr:uid="{754178D9-FC60-4B2F-8D2C-B8B5F5399BEF}">
          <x14:formula1>
            <xm:f>FAListas!$C$64:$C$66</xm:f>
          </x14:formula1>
          <xm:sqref>G44:G49 G100</xm:sqref>
        </x14:dataValidation>
        <x14:dataValidation type="list" errorStyle="warning" allowBlank="1" showInputMessage="1" showErrorMessage="1" error="Não Introduzir valor" xr:uid="{F9E910C2-4135-4FB2-853A-FD57E0FDDC8A}">
          <x14:formula1>
            <xm:f>FAListas!$C$67:$C$69</xm:f>
          </x14:formula1>
          <xm:sqref>G20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D31BC-8884-4385-AD96-8F08A0518258}">
  <sheetPr codeName="Sheet4">
    <tabColor rgb="FF02A39C"/>
  </sheetPr>
  <dimension ref="A2:W196"/>
  <sheetViews>
    <sheetView showGridLines="0" zoomScale="66" zoomScaleNormal="66" workbookViewId="0">
      <pane ySplit="2" topLeftCell="A3" activePane="bottomLeft" state="frozen"/>
      <selection activeCell="D13" sqref="D13"/>
      <selection pane="bottomLeft" activeCell="K5" sqref="K5:L5"/>
    </sheetView>
  </sheetViews>
  <sheetFormatPr defaultRowHeight="15" x14ac:dyDescent="0.25"/>
  <cols>
    <col min="1" max="1" width="3.7109375" customWidth="1"/>
    <col min="2" max="2" width="2.7109375" customWidth="1"/>
    <col min="3" max="3" width="48" customWidth="1"/>
    <col min="4" max="4" width="16.28515625" customWidth="1"/>
    <col min="5" max="5" width="38.42578125" customWidth="1"/>
    <col min="6" max="7" width="37.7109375" customWidth="1"/>
    <col min="8" max="8" width="3.7109375" customWidth="1"/>
    <col min="9" max="9" width="9.28515625" customWidth="1"/>
    <col min="10" max="10" width="37.42578125" customWidth="1"/>
    <col min="11" max="11" width="22.28515625" customWidth="1"/>
    <col min="12" max="12" width="30.7109375" customWidth="1"/>
    <col min="13" max="13" width="21.7109375" customWidth="1"/>
    <col min="15" max="18" width="15.7109375" customWidth="1"/>
    <col min="20" max="21" width="40.7109375" hidden="1" customWidth="1"/>
  </cols>
  <sheetData>
    <row r="2" spans="1:23" s="4" customFormat="1" ht="70.150000000000006" customHeight="1" x14ac:dyDescent="0.25">
      <c r="A2" s="297"/>
      <c r="C2" s="373" t="s">
        <v>981</v>
      </c>
      <c r="D2" s="52"/>
      <c r="E2" s="52"/>
      <c r="F2" s="52"/>
      <c r="G2" s="52"/>
      <c r="H2" s="52"/>
      <c r="I2" s="52"/>
      <c r="J2" s="52"/>
      <c r="K2" s="52"/>
      <c r="L2" s="52"/>
      <c r="M2" s="52"/>
      <c r="N2" s="52"/>
      <c r="O2" s="52"/>
      <c r="P2" s="52"/>
      <c r="Q2" s="52"/>
      <c r="R2" s="52"/>
      <c r="S2" s="52"/>
      <c r="T2" s="52"/>
      <c r="U2" s="52"/>
      <c r="V2" s="52"/>
      <c r="W2" s="52"/>
    </row>
    <row r="4" spans="1:23" ht="15.75" thickBot="1" x14ac:dyDescent="0.3"/>
    <row r="5" spans="1:23" ht="40.15" customHeight="1" thickBot="1" x14ac:dyDescent="0.3">
      <c r="B5" s="66"/>
      <c r="C5" s="66" t="s">
        <v>497</v>
      </c>
      <c r="D5" s="57"/>
      <c r="E5" s="57"/>
      <c r="F5" s="57"/>
      <c r="G5" s="57"/>
      <c r="H5" s="58"/>
      <c r="I5" s="56"/>
      <c r="J5" s="562" t="s">
        <v>608</v>
      </c>
      <c r="K5" s="1412" t="s">
        <v>603</v>
      </c>
      <c r="L5" s="1413"/>
      <c r="T5" s="560" t="s">
        <v>603</v>
      </c>
      <c r="U5" s="554" t="s">
        <v>833</v>
      </c>
    </row>
    <row r="6" spans="1:23" ht="15" customHeight="1" x14ac:dyDescent="0.25">
      <c r="B6" s="512"/>
      <c r="C6" s="56"/>
      <c r="D6" s="56"/>
      <c r="E6" s="56"/>
      <c r="F6" s="56"/>
      <c r="G6" s="56"/>
      <c r="H6" s="511"/>
      <c r="I6" s="56"/>
      <c r="J6" s="1414" t="str">
        <f>IF(K5="","",VLOOKUP(K5,T5:U7,2,FALSE))</f>
        <v>Cálculo das emissões absolutas (Ab), das emissões emissões de referência (Be) e das emissões relativas (Re= Ab - Be)  de projetos relacionados com a micromobilidade que impliquem transferência modal.</v>
      </c>
      <c r="K6" s="1415"/>
      <c r="L6" s="1416"/>
      <c r="T6" s="560" t="s">
        <v>606</v>
      </c>
      <c r="U6" s="553" t="s">
        <v>834</v>
      </c>
    </row>
    <row r="7" spans="1:23" ht="24" customHeight="1" x14ac:dyDescent="0.25">
      <c r="B7" s="59"/>
      <c r="C7" s="116" t="s">
        <v>489</v>
      </c>
      <c r="D7" s="115"/>
      <c r="E7" s="115"/>
      <c r="F7" s="115"/>
      <c r="G7" s="115"/>
      <c r="H7" s="69"/>
      <c r="I7" s="54"/>
      <c r="J7" s="1417"/>
      <c r="K7" s="1418"/>
      <c r="L7" s="1419"/>
      <c r="T7" s="560" t="s">
        <v>713</v>
      </c>
      <c r="U7" s="561" t="s">
        <v>835</v>
      </c>
    </row>
    <row r="8" spans="1:23" ht="24" customHeight="1" x14ac:dyDescent="0.25">
      <c r="B8" s="59"/>
      <c r="C8" s="92"/>
      <c r="D8" s="92"/>
      <c r="E8" s="92"/>
      <c r="F8" s="92"/>
      <c r="G8" s="92"/>
      <c r="H8" s="69"/>
      <c r="I8" s="54"/>
      <c r="J8" s="1417"/>
      <c r="K8" s="1418"/>
      <c r="L8" s="1419"/>
    </row>
    <row r="9" spans="1:23" ht="24" customHeight="1" thickBot="1" x14ac:dyDescent="0.3">
      <c r="B9" s="59"/>
      <c r="C9" s="686" t="s">
        <v>634</v>
      </c>
      <c r="D9" s="687"/>
      <c r="E9" s="687"/>
      <c r="F9" s="687"/>
      <c r="G9" s="687"/>
      <c r="H9" s="69"/>
      <c r="I9" s="54"/>
      <c r="J9" s="1420"/>
      <c r="K9" s="1421"/>
      <c r="L9" s="1422"/>
    </row>
    <row r="10" spans="1:23" ht="64.150000000000006" customHeight="1" x14ac:dyDescent="0.25">
      <c r="B10" s="59"/>
      <c r="C10" s="564" t="s">
        <v>611</v>
      </c>
      <c r="D10" s="1460" t="s">
        <v>622</v>
      </c>
      <c r="E10" s="1461"/>
      <c r="F10" s="1461"/>
      <c r="G10" s="1462"/>
      <c r="H10" s="69"/>
      <c r="I10" s="54"/>
      <c r="J10" s="55"/>
      <c r="K10" s="48"/>
      <c r="T10" s="560"/>
    </row>
    <row r="11" spans="1:23" ht="24" customHeight="1" x14ac:dyDescent="0.25">
      <c r="B11" s="59"/>
      <c r="C11" s="684"/>
      <c r="D11" s="1463" t="s">
        <v>635</v>
      </c>
      <c r="E11" s="1464"/>
      <c r="F11" s="1464"/>
      <c r="G11" s="1465"/>
      <c r="H11" s="69"/>
      <c r="I11" s="54"/>
      <c r="J11" s="55"/>
      <c r="K11" s="48"/>
    </row>
    <row r="12" spans="1:23" ht="24" customHeight="1" x14ac:dyDescent="0.25">
      <c r="B12" s="59"/>
      <c r="C12" s="684"/>
      <c r="D12" s="1466" t="s">
        <v>636</v>
      </c>
      <c r="E12" s="1467"/>
      <c r="F12" s="1467"/>
      <c r="G12" s="1468"/>
      <c r="H12" s="69"/>
      <c r="I12" s="54"/>
      <c r="J12" s="55"/>
      <c r="K12" s="48"/>
    </row>
    <row r="13" spans="1:23" ht="79.900000000000006" customHeight="1" x14ac:dyDescent="0.25">
      <c r="B13" s="59"/>
      <c r="C13" s="685"/>
      <c r="D13" s="1460" t="s">
        <v>836</v>
      </c>
      <c r="E13" s="1461"/>
      <c r="F13" s="1461"/>
      <c r="G13" s="1462"/>
      <c r="H13" s="69"/>
      <c r="I13" s="54"/>
      <c r="J13" s="55"/>
      <c r="K13" s="48"/>
    </row>
    <row r="14" spans="1:23" ht="40.15" customHeight="1" x14ac:dyDescent="0.25">
      <c r="B14" s="59"/>
      <c r="C14" s="1450" t="s">
        <v>609</v>
      </c>
      <c r="D14" s="1463" t="s">
        <v>1147</v>
      </c>
      <c r="E14" s="1464"/>
      <c r="F14" s="1464"/>
      <c r="G14" s="1465"/>
      <c r="H14" s="69"/>
      <c r="I14" s="54"/>
      <c r="J14" s="55"/>
      <c r="K14" s="48"/>
    </row>
    <row r="15" spans="1:23" ht="24" customHeight="1" x14ac:dyDescent="0.25">
      <c r="B15" s="59"/>
      <c r="C15" s="1469"/>
      <c r="D15" s="1431" t="s">
        <v>610</v>
      </c>
      <c r="E15" s="1432"/>
      <c r="F15" s="1432"/>
      <c r="G15" s="1470"/>
      <c r="H15" s="69"/>
      <c r="I15" s="54"/>
      <c r="J15" s="55"/>
      <c r="K15" s="48"/>
    </row>
    <row r="16" spans="1:23" ht="24" customHeight="1" x14ac:dyDescent="0.25">
      <c r="B16" s="59"/>
      <c r="C16" s="1469"/>
      <c r="D16" s="1471" t="s">
        <v>837</v>
      </c>
      <c r="E16" s="1472"/>
      <c r="F16" s="1472"/>
      <c r="G16" s="1473"/>
      <c r="H16" s="69"/>
      <c r="I16" s="54"/>
      <c r="J16" s="55"/>
      <c r="K16" s="48"/>
    </row>
    <row r="17" spans="2:21" ht="40.9" customHeight="1" x14ac:dyDescent="0.25">
      <c r="B17" s="59"/>
      <c r="C17" s="1469"/>
      <c r="D17" s="1474" t="s">
        <v>1156</v>
      </c>
      <c r="E17" s="1289"/>
      <c r="F17" s="1289"/>
      <c r="G17" s="1475"/>
      <c r="H17" s="69"/>
      <c r="I17" s="54"/>
      <c r="J17" s="55"/>
    </row>
    <row r="18" spans="2:21" ht="40.9" customHeight="1" x14ac:dyDescent="0.25">
      <c r="B18" s="59"/>
      <c r="C18" s="1451"/>
      <c r="D18" s="1476" t="s">
        <v>726</v>
      </c>
      <c r="E18" s="1477"/>
      <c r="F18" s="1477"/>
      <c r="G18" s="1478"/>
      <c r="H18" s="69"/>
      <c r="I18" s="54"/>
      <c r="J18" s="55"/>
    </row>
    <row r="19" spans="2:21" ht="24" customHeight="1" thickBot="1" x14ac:dyDescent="0.3">
      <c r="B19" s="59"/>
      <c r="C19" s="92"/>
      <c r="D19" s="92"/>
      <c r="E19" s="92"/>
      <c r="F19" s="92"/>
      <c r="G19" s="92"/>
      <c r="H19" s="69"/>
      <c r="I19" s="54"/>
      <c r="J19" s="55"/>
    </row>
    <row r="20" spans="2:21" ht="45.6" customHeight="1" thickBot="1" x14ac:dyDescent="0.3">
      <c r="B20" s="59"/>
      <c r="C20" s="298" t="s">
        <v>202</v>
      </c>
      <c r="D20" s="218"/>
      <c r="E20" s="219" t="s">
        <v>195</v>
      </c>
      <c r="F20" s="219" t="s">
        <v>157</v>
      </c>
      <c r="G20" s="220" t="s">
        <v>623</v>
      </c>
      <c r="H20" s="69"/>
      <c r="I20" s="54"/>
      <c r="J20" s="562" t="s">
        <v>608</v>
      </c>
      <c r="K20" s="1412" t="s">
        <v>614</v>
      </c>
      <c r="L20" s="1413"/>
      <c r="M20" s="88"/>
      <c r="O20" s="50"/>
    </row>
    <row r="21" spans="2:21" ht="70.150000000000006" customHeight="1" x14ac:dyDescent="0.25">
      <c r="B21" s="59"/>
      <c r="C21" s="291" t="s">
        <v>319</v>
      </c>
      <c r="D21" s="1244" t="s">
        <v>1316</v>
      </c>
      <c r="E21" s="339" t="s">
        <v>288</v>
      </c>
      <c r="F21" s="1104"/>
      <c r="G21" s="1239" t="s">
        <v>482</v>
      </c>
      <c r="H21" s="69"/>
      <c r="I21" s="54"/>
      <c r="J21" s="1414" t="str">
        <f>IF(K20="","",VLOOKUP(K20,T21:U22,2,FALSE))</f>
        <v>A GEE_mobilidade disponibiliza uma calculadora (calculadora A) para estimar os fatores de emissão do transporte elétrico no separador "Cálculos adicionais_utilizador" (aceder através do "Índice" da GEE_mobilidade). Os dados necessários para este cálculo são os seguintes:  Fator de emissão da eletricidade (kgCO2e/ kWh); Consumo de eletricidade (kWh/km) especifico do transporte e o número médio de passageiros por autocarro. Os fatores de emissão resultantes (campos a verde)  devem ser introduzidos na coluna "Valor" a azul do respectivo tipo de transporte.</v>
      </c>
      <c r="K21" s="1415"/>
      <c r="L21" s="1416"/>
      <c r="M21" s="444"/>
      <c r="O21" s="1459"/>
      <c r="P21" s="1459"/>
      <c r="Q21" s="1459"/>
      <c r="R21" s="1459"/>
      <c r="T21" s="41" t="s">
        <v>614</v>
      </c>
      <c r="U21" s="46" t="s">
        <v>1148</v>
      </c>
    </row>
    <row r="22" spans="2:21" ht="30" customHeight="1" x14ac:dyDescent="0.25">
      <c r="B22" s="59"/>
      <c r="C22" s="298" t="s">
        <v>320</v>
      </c>
      <c r="D22" s="218"/>
      <c r="E22" s="219" t="s">
        <v>195</v>
      </c>
      <c r="F22" s="230" t="s">
        <v>157</v>
      </c>
      <c r="G22" s="220" t="s">
        <v>623</v>
      </c>
      <c r="H22" s="69"/>
      <c r="I22" s="54"/>
      <c r="J22" s="1417"/>
      <c r="K22" s="1418"/>
      <c r="L22" s="1419"/>
      <c r="M22" s="100"/>
      <c r="O22" s="254"/>
      <c r="P22" s="100"/>
      <c r="Q22" s="100"/>
      <c r="R22" s="100"/>
      <c r="T22" s="554" t="s">
        <v>693</v>
      </c>
      <c r="U22" s="41" t="s">
        <v>697</v>
      </c>
    </row>
    <row r="23" spans="2:21" ht="70.150000000000006" customHeight="1" thickBot="1" x14ac:dyDescent="0.3">
      <c r="B23" s="59"/>
      <c r="C23" s="291" t="s">
        <v>325</v>
      </c>
      <c r="D23" s="1244" t="s">
        <v>1317</v>
      </c>
      <c r="E23" s="1243" t="s">
        <v>146</v>
      </c>
      <c r="F23" s="1105"/>
      <c r="G23" s="1245" t="s">
        <v>482</v>
      </c>
      <c r="H23" s="69"/>
      <c r="I23" s="54"/>
      <c r="J23" s="1420"/>
      <c r="K23" s="1421"/>
      <c r="L23" s="1422"/>
      <c r="M23" s="88"/>
      <c r="O23" s="1449"/>
      <c r="P23" s="1449"/>
      <c r="Q23" s="1449"/>
      <c r="R23" s="1449"/>
    </row>
    <row r="24" spans="2:21" ht="30" customHeight="1" x14ac:dyDescent="0.25">
      <c r="B24" s="59"/>
      <c r="C24" s="298" t="s">
        <v>327</v>
      </c>
      <c r="D24" s="218"/>
      <c r="E24" s="219" t="s">
        <v>195</v>
      </c>
      <c r="F24" s="230" t="s">
        <v>157</v>
      </c>
      <c r="G24" s="220" t="s">
        <v>623</v>
      </c>
      <c r="H24" s="69"/>
      <c r="I24" s="54"/>
      <c r="J24" s="565"/>
      <c r="K24" s="566"/>
      <c r="L24" s="445"/>
      <c r="M24" s="444"/>
      <c r="O24" s="1449"/>
      <c r="P24" s="1449"/>
      <c r="Q24" s="1449"/>
      <c r="R24" s="1449"/>
    </row>
    <row r="25" spans="2:21" ht="70.150000000000006" customHeight="1" x14ac:dyDescent="0.25">
      <c r="B25" s="59"/>
      <c r="C25" s="291" t="s">
        <v>198</v>
      </c>
      <c r="D25" s="1244" t="s">
        <v>1317</v>
      </c>
      <c r="E25" s="1105" t="s">
        <v>146</v>
      </c>
      <c r="F25" s="1105"/>
      <c r="G25" s="1245" t="s">
        <v>482</v>
      </c>
      <c r="H25" s="69"/>
      <c r="I25" s="54"/>
      <c r="J25" s="1418"/>
      <c r="K25" s="1418"/>
      <c r="L25" s="1449"/>
      <c r="M25" s="445"/>
      <c r="O25" s="255"/>
      <c r="P25" s="256"/>
      <c r="Q25" s="256"/>
      <c r="R25" s="256"/>
    </row>
    <row r="26" spans="2:21" ht="30" customHeight="1" x14ac:dyDescent="0.25">
      <c r="B26" s="59"/>
      <c r="C26" s="298" t="s">
        <v>321</v>
      </c>
      <c r="D26" s="218"/>
      <c r="E26" s="219" t="s">
        <v>195</v>
      </c>
      <c r="F26" s="219" t="s">
        <v>157</v>
      </c>
      <c r="G26" s="220" t="s">
        <v>623</v>
      </c>
      <c r="H26" s="69"/>
      <c r="J26" s="1418"/>
      <c r="K26" s="1418"/>
      <c r="L26" s="1449"/>
      <c r="M26" s="307"/>
    </row>
    <row r="27" spans="2:21" ht="60" customHeight="1" x14ac:dyDescent="0.25">
      <c r="B27" s="59"/>
      <c r="C27" s="293" t="s">
        <v>452</v>
      </c>
      <c r="D27" s="1244" t="s">
        <v>1317</v>
      </c>
      <c r="E27" s="1105" t="s">
        <v>146</v>
      </c>
      <c r="F27" s="1105"/>
      <c r="G27" s="1239" t="s">
        <v>482</v>
      </c>
      <c r="H27" s="69"/>
      <c r="J27" s="1387"/>
      <c r="K27" s="1387"/>
      <c r="L27" s="256"/>
      <c r="M27" s="394"/>
    </row>
    <row r="28" spans="2:21" ht="70.150000000000006" customHeight="1" x14ac:dyDescent="0.25">
      <c r="B28" s="59"/>
      <c r="C28" s="293" t="s">
        <v>453</v>
      </c>
      <c r="D28" s="1244" t="s">
        <v>1317</v>
      </c>
      <c r="E28" s="1105" t="s">
        <v>146</v>
      </c>
      <c r="F28" s="1105"/>
      <c r="G28" s="1239" t="s">
        <v>482</v>
      </c>
      <c r="H28" s="69"/>
      <c r="I28" s="54"/>
      <c r="J28" s="705"/>
      <c r="K28" s="705"/>
      <c r="L28" s="55"/>
    </row>
    <row r="29" spans="2:21" ht="19.899999999999999" customHeight="1" x14ac:dyDescent="0.25">
      <c r="B29" s="59"/>
      <c r="C29" s="87"/>
      <c r="D29" s="88"/>
      <c r="E29" s="88"/>
      <c r="F29" s="88"/>
      <c r="G29" s="88"/>
      <c r="H29" s="69"/>
      <c r="I29" s="54"/>
    </row>
    <row r="30" spans="2:21" ht="24" customHeight="1" x14ac:dyDescent="0.25">
      <c r="B30" s="59"/>
      <c r="C30" s="116" t="s">
        <v>490</v>
      </c>
      <c r="D30" s="115"/>
      <c r="E30" s="115"/>
      <c r="F30" s="115"/>
      <c r="G30" s="115"/>
      <c r="H30" s="69"/>
      <c r="I30" s="54"/>
      <c r="J30" s="255"/>
      <c r="K30" s="256"/>
      <c r="L30" s="256"/>
      <c r="M30" s="256"/>
    </row>
    <row r="31" spans="2:21" ht="24" customHeight="1" x14ac:dyDescent="0.25">
      <c r="B31" s="59"/>
      <c r="C31" s="92"/>
      <c r="D31" s="92"/>
      <c r="E31" s="92"/>
      <c r="F31" s="92"/>
      <c r="G31" s="92"/>
      <c r="H31" s="69"/>
      <c r="I31" s="54"/>
    </row>
    <row r="32" spans="2:21" ht="24" customHeight="1" x14ac:dyDescent="0.25">
      <c r="B32" s="59"/>
      <c r="C32" s="1446" t="s">
        <v>634</v>
      </c>
      <c r="D32" s="1447"/>
      <c r="E32" s="1447"/>
      <c r="F32" s="1447"/>
      <c r="G32" s="1447"/>
      <c r="H32" s="69"/>
      <c r="I32" s="54"/>
    </row>
    <row r="33" spans="1:13" ht="27.6" customHeight="1" x14ac:dyDescent="0.25">
      <c r="B33" s="59"/>
      <c r="C33" s="1456" t="s">
        <v>621</v>
      </c>
      <c r="D33" s="1410" t="s">
        <v>863</v>
      </c>
      <c r="E33" s="1410"/>
      <c r="F33" s="1410"/>
      <c r="G33" s="1410"/>
      <c r="H33" s="69"/>
      <c r="I33" s="54"/>
      <c r="J33" s="55"/>
      <c r="K33" s="48"/>
    </row>
    <row r="34" spans="1:13" ht="40.15" customHeight="1" x14ac:dyDescent="0.25">
      <c r="B34" s="59"/>
      <c r="C34" s="1457"/>
      <c r="D34" s="1437" t="s">
        <v>1225</v>
      </c>
      <c r="E34" s="1438"/>
      <c r="F34" s="1438"/>
      <c r="G34" s="1439"/>
      <c r="H34" s="69"/>
      <c r="I34" s="54"/>
      <c r="J34" s="55"/>
      <c r="K34" s="48"/>
    </row>
    <row r="35" spans="1:13" ht="130.9" customHeight="1" x14ac:dyDescent="0.25">
      <c r="B35" s="59"/>
      <c r="C35" s="1457"/>
      <c r="D35" s="1437" t="s">
        <v>1149</v>
      </c>
      <c r="E35" s="1438"/>
      <c r="F35" s="1438"/>
      <c r="G35" s="1439"/>
      <c r="H35" s="69"/>
      <c r="I35" s="54"/>
      <c r="J35" s="55"/>
      <c r="K35" s="48"/>
    </row>
    <row r="36" spans="1:13" ht="117.6" customHeight="1" x14ac:dyDescent="0.25">
      <c r="B36" s="59"/>
      <c r="C36" s="1458"/>
      <c r="D36" s="1437" t="s">
        <v>1151</v>
      </c>
      <c r="E36" s="1438"/>
      <c r="F36" s="1438"/>
      <c r="G36" s="1439"/>
      <c r="H36" s="69"/>
      <c r="I36" s="54"/>
      <c r="J36" s="55"/>
      <c r="K36" s="48"/>
    </row>
    <row r="37" spans="1:13" ht="18" customHeight="1" x14ac:dyDescent="0.25">
      <c r="B37" s="59"/>
      <c r="C37" s="1450" t="s">
        <v>620</v>
      </c>
      <c r="D37" s="1428" t="s">
        <v>841</v>
      </c>
      <c r="E37" s="1429"/>
      <c r="F37" s="1429"/>
      <c r="G37" s="1479"/>
      <c r="H37" s="69"/>
      <c r="I37" s="54"/>
      <c r="J37" s="55"/>
      <c r="K37" s="48"/>
    </row>
    <row r="38" spans="1:13" ht="18.75" x14ac:dyDescent="0.25">
      <c r="B38" s="59"/>
      <c r="C38" s="1451"/>
      <c r="D38" s="570" t="s">
        <v>111</v>
      </c>
      <c r="E38" s="1452" t="s">
        <v>619</v>
      </c>
      <c r="F38" s="1452"/>
      <c r="G38" s="1453"/>
      <c r="H38" s="69"/>
      <c r="I38" s="54"/>
      <c r="J38" s="55"/>
      <c r="K38" s="48"/>
    </row>
    <row r="39" spans="1:13" ht="24" customHeight="1" x14ac:dyDescent="0.25">
      <c r="B39" s="59"/>
      <c r="C39" s="92"/>
      <c r="D39" s="92"/>
      <c r="E39" s="92"/>
      <c r="F39" s="92"/>
      <c r="G39" s="92"/>
      <c r="H39" s="69"/>
      <c r="I39" s="54"/>
      <c r="J39" s="55"/>
      <c r="K39" s="48"/>
    </row>
    <row r="40" spans="1:13" ht="30" customHeight="1" x14ac:dyDescent="0.25">
      <c r="B40" s="59"/>
      <c r="C40" s="571" t="s">
        <v>612</v>
      </c>
      <c r="D40" s="573" t="s">
        <v>3</v>
      </c>
      <c r="E40" s="572" t="s">
        <v>797</v>
      </c>
      <c r="F40" s="1444" t="s">
        <v>126</v>
      </c>
      <c r="G40" s="1445"/>
      <c r="H40" s="69"/>
      <c r="I40" s="54"/>
      <c r="J40" s="55"/>
      <c r="K40" s="48"/>
    </row>
    <row r="41" spans="1:13" ht="60" customHeight="1" x14ac:dyDescent="0.25">
      <c r="A41" s="50"/>
      <c r="B41" s="59"/>
      <c r="C41" s="294" t="s">
        <v>1152</v>
      </c>
      <c r="D41" s="1246" t="s">
        <v>119</v>
      </c>
      <c r="E41" s="1107"/>
      <c r="F41" s="1454" t="s">
        <v>160</v>
      </c>
      <c r="G41" s="1455"/>
      <c r="H41" s="69"/>
      <c r="I41" s="54"/>
      <c r="J41" s="55"/>
      <c r="K41" s="64"/>
    </row>
    <row r="42" spans="1:13" ht="30" customHeight="1" x14ac:dyDescent="0.25">
      <c r="B42" s="59"/>
      <c r="C42" s="1481" t="s">
        <v>322</v>
      </c>
      <c r="D42" s="1482"/>
      <c r="E42" s="572" t="s">
        <v>157</v>
      </c>
      <c r="F42" s="1444" t="s">
        <v>126</v>
      </c>
      <c r="G42" s="1445"/>
      <c r="H42" s="69"/>
      <c r="I42" s="54"/>
      <c r="J42" s="55"/>
      <c r="K42" s="64"/>
    </row>
    <row r="43" spans="1:13" ht="60" customHeight="1" x14ac:dyDescent="0.25">
      <c r="B43" s="59"/>
      <c r="C43" s="293" t="s">
        <v>980</v>
      </c>
      <c r="D43" s="292" t="s">
        <v>842</v>
      </c>
      <c r="E43" s="1107"/>
      <c r="F43" s="1408" t="s">
        <v>160</v>
      </c>
      <c r="G43" s="1409"/>
      <c r="H43" s="69"/>
      <c r="I43" s="54"/>
      <c r="J43" s="54"/>
      <c r="K43" s="54"/>
      <c r="L43" s="54"/>
      <c r="M43" s="50"/>
    </row>
    <row r="44" spans="1:13" ht="60" customHeight="1" x14ac:dyDescent="0.25">
      <c r="B44" s="59"/>
      <c r="C44" s="293" t="s">
        <v>874</v>
      </c>
      <c r="D44" s="1244" t="s">
        <v>1318</v>
      </c>
      <c r="E44" s="1107"/>
      <c r="F44" s="1408" t="s">
        <v>160</v>
      </c>
      <c r="G44" s="1409"/>
      <c r="H44" s="69"/>
      <c r="I44" s="54"/>
      <c r="J44" s="54"/>
      <c r="K44" s="54"/>
      <c r="L44" s="54"/>
    </row>
    <row r="45" spans="1:13" ht="30" customHeight="1" x14ac:dyDescent="0.25">
      <c r="B45" s="59"/>
      <c r="C45" s="304" t="s">
        <v>320</v>
      </c>
      <c r="D45" s="224"/>
      <c r="E45" s="572" t="s">
        <v>157</v>
      </c>
      <c r="F45" s="1444" t="s">
        <v>126</v>
      </c>
      <c r="G45" s="1445"/>
      <c r="H45" s="69"/>
      <c r="I45" s="54"/>
      <c r="J45" s="54"/>
      <c r="K45" s="54"/>
      <c r="L45" s="54"/>
    </row>
    <row r="46" spans="1:13" ht="60" customHeight="1" x14ac:dyDescent="0.25">
      <c r="B46" s="59"/>
      <c r="C46" s="293" t="s">
        <v>895</v>
      </c>
      <c r="D46" s="292" t="s">
        <v>842</v>
      </c>
      <c r="E46" s="1107"/>
      <c r="F46" s="1408" t="s">
        <v>160</v>
      </c>
      <c r="G46" s="1409"/>
      <c r="H46" s="69"/>
      <c r="I46" s="54"/>
      <c r="J46" s="54"/>
      <c r="K46" s="54"/>
      <c r="L46" s="54"/>
    </row>
    <row r="47" spans="1:13" ht="60" customHeight="1" x14ac:dyDescent="0.25">
      <c r="B47" s="59"/>
      <c r="C47" s="293" t="s">
        <v>865</v>
      </c>
      <c r="D47" s="1244" t="s">
        <v>1318</v>
      </c>
      <c r="E47" s="1107"/>
      <c r="F47" s="1408" t="s">
        <v>160</v>
      </c>
      <c r="G47" s="1409"/>
      <c r="H47" s="69"/>
      <c r="I47" s="54"/>
      <c r="J47" s="54"/>
      <c r="K47" s="54"/>
      <c r="L47" s="54"/>
    </row>
    <row r="48" spans="1:13" ht="30" customHeight="1" x14ac:dyDescent="0.25">
      <c r="B48" s="59"/>
      <c r="C48" s="304" t="s">
        <v>327</v>
      </c>
      <c r="D48" s="224"/>
      <c r="E48" s="572" t="s">
        <v>157</v>
      </c>
      <c r="F48" s="1444" t="s">
        <v>126</v>
      </c>
      <c r="G48" s="1445"/>
      <c r="H48" s="69"/>
      <c r="I48" s="54"/>
      <c r="J48" s="54"/>
      <c r="K48" s="54"/>
      <c r="L48" s="54"/>
    </row>
    <row r="49" spans="2:12" ht="60" customHeight="1" x14ac:dyDescent="0.25">
      <c r="B49" s="59"/>
      <c r="C49" s="293" t="s">
        <v>888</v>
      </c>
      <c r="D49" s="292" t="s">
        <v>842</v>
      </c>
      <c r="E49" s="1107"/>
      <c r="F49" s="1408" t="s">
        <v>160</v>
      </c>
      <c r="G49" s="1409"/>
      <c r="H49" s="69"/>
      <c r="I49" s="54"/>
      <c r="J49" s="54"/>
      <c r="K49" s="64"/>
      <c r="L49" s="54"/>
    </row>
    <row r="50" spans="2:12" ht="60" customHeight="1" x14ac:dyDescent="0.25">
      <c r="B50" s="59"/>
      <c r="C50" s="293" t="s">
        <v>864</v>
      </c>
      <c r="D50" s="1244" t="s">
        <v>1319</v>
      </c>
      <c r="E50" s="1107"/>
      <c r="F50" s="1408" t="s">
        <v>160</v>
      </c>
      <c r="G50" s="1409"/>
      <c r="H50" s="69"/>
      <c r="I50" s="54"/>
      <c r="J50" s="54"/>
      <c r="K50" s="64"/>
      <c r="L50" s="54"/>
    </row>
    <row r="51" spans="2:12" ht="30" customHeight="1" x14ac:dyDescent="0.25">
      <c r="B51" s="59"/>
      <c r="C51" s="304" t="s">
        <v>321</v>
      </c>
      <c r="D51" s="224"/>
      <c r="E51" s="572" t="s">
        <v>157</v>
      </c>
      <c r="F51" s="1444" t="s">
        <v>126</v>
      </c>
      <c r="G51" s="1445"/>
      <c r="H51" s="69"/>
      <c r="I51" s="54"/>
      <c r="J51" s="54"/>
      <c r="K51" s="64"/>
      <c r="L51" s="54"/>
    </row>
    <row r="52" spans="2:12" ht="60" customHeight="1" x14ac:dyDescent="0.25">
      <c r="B52" s="59"/>
      <c r="C52" s="293" t="s">
        <v>860</v>
      </c>
      <c r="D52" s="292" t="s">
        <v>842</v>
      </c>
      <c r="E52" s="1107"/>
      <c r="F52" s="1408" t="s">
        <v>160</v>
      </c>
      <c r="G52" s="1409"/>
      <c r="H52" s="69"/>
      <c r="I52" s="54"/>
      <c r="J52" s="54"/>
      <c r="K52" s="64"/>
      <c r="L52" s="54"/>
    </row>
    <row r="53" spans="2:12" ht="60" customHeight="1" x14ac:dyDescent="0.25">
      <c r="B53" s="59"/>
      <c r="C53" s="293" t="s">
        <v>861</v>
      </c>
      <c r="D53" s="1244" t="s">
        <v>1319</v>
      </c>
      <c r="E53" s="1107"/>
      <c r="F53" s="1408" t="s">
        <v>160</v>
      </c>
      <c r="G53" s="1409"/>
      <c r="H53" s="69"/>
      <c r="I53" s="54"/>
      <c r="J53" s="54"/>
      <c r="K53" s="54"/>
      <c r="L53" s="54"/>
    </row>
    <row r="54" spans="2:12" ht="60" customHeight="1" x14ac:dyDescent="0.25">
      <c r="B54" s="59"/>
      <c r="C54" s="293" t="s">
        <v>454</v>
      </c>
      <c r="D54" s="292" t="s">
        <v>842</v>
      </c>
      <c r="E54" s="1107"/>
      <c r="F54" s="1408" t="s">
        <v>160</v>
      </c>
      <c r="G54" s="1409"/>
      <c r="H54" s="69"/>
      <c r="I54" s="54"/>
      <c r="J54" s="54"/>
      <c r="K54" s="54"/>
      <c r="L54" s="54"/>
    </row>
    <row r="55" spans="2:12" ht="60" customHeight="1" x14ac:dyDescent="0.25">
      <c r="B55" s="59"/>
      <c r="C55" s="293" t="s">
        <v>862</v>
      </c>
      <c r="D55" s="1244" t="s">
        <v>1319</v>
      </c>
      <c r="E55" s="1107"/>
      <c r="F55" s="1408" t="s">
        <v>160</v>
      </c>
      <c r="G55" s="1409"/>
      <c r="H55" s="69"/>
      <c r="I55" s="54"/>
      <c r="J55" s="54"/>
      <c r="K55" s="54"/>
      <c r="L55" s="54"/>
    </row>
    <row r="56" spans="2:12" ht="19.899999999999999" hidden="1" customHeight="1" x14ac:dyDescent="0.25">
      <c r="B56" s="59"/>
      <c r="C56" s="215" t="s">
        <v>323</v>
      </c>
      <c r="D56" s="206" t="s">
        <v>155</v>
      </c>
      <c r="E56" s="221" t="s">
        <v>147</v>
      </c>
      <c r="F56" s="135" t="s">
        <v>146</v>
      </c>
      <c r="G56" s="105"/>
      <c r="H56" s="69"/>
      <c r="I56" s="54"/>
      <c r="J56" s="54"/>
      <c r="K56" s="54"/>
      <c r="L56" s="54"/>
    </row>
    <row r="57" spans="2:12" ht="15" customHeight="1" x14ac:dyDescent="0.25">
      <c r="B57" s="61"/>
      <c r="C57" s="75"/>
      <c r="D57" s="76"/>
      <c r="E57" s="76"/>
      <c r="F57" s="76"/>
      <c r="G57" s="76"/>
      <c r="H57" s="70"/>
      <c r="I57" s="54"/>
      <c r="J57" s="54"/>
      <c r="K57" s="54"/>
      <c r="L57" s="54"/>
    </row>
    <row r="58" spans="2:12" ht="34.9" customHeight="1" x14ac:dyDescent="0.25">
      <c r="C58" s="64"/>
      <c r="D58" s="54"/>
      <c r="E58" s="54"/>
      <c r="F58" s="54"/>
      <c r="G58" s="54"/>
      <c r="H58" s="54"/>
      <c r="I58" s="54"/>
      <c r="J58" s="54"/>
      <c r="K58" s="54"/>
      <c r="L58" s="54"/>
    </row>
    <row r="63" spans="2:12" ht="40.15" customHeight="1" x14ac:dyDescent="0.25">
      <c r="B63" s="66"/>
      <c r="C63" s="66" t="s">
        <v>492</v>
      </c>
      <c r="D63" s="57"/>
      <c r="E63" s="57"/>
      <c r="F63" s="57"/>
      <c r="G63" s="57"/>
      <c r="H63" s="58"/>
      <c r="I63" s="56"/>
      <c r="J63" s="56"/>
    </row>
    <row r="64" spans="2:12" ht="14.45" customHeight="1" x14ac:dyDescent="0.25">
      <c r="B64" s="59"/>
      <c r="H64" s="60"/>
      <c r="I64" s="65"/>
      <c r="J64" s="65"/>
    </row>
    <row r="65" spans="2:12" ht="24" customHeight="1" x14ac:dyDescent="0.25">
      <c r="B65" s="59"/>
      <c r="C65" s="1411" t="s">
        <v>498</v>
      </c>
      <c r="D65" s="1407"/>
      <c r="E65" s="1407"/>
      <c r="F65" s="1407"/>
      <c r="G65" s="115"/>
      <c r="H65" s="60"/>
      <c r="I65" s="65"/>
      <c r="J65" s="65"/>
    </row>
    <row r="66" spans="2:12" ht="24" customHeight="1" x14ac:dyDescent="0.25">
      <c r="B66" s="59"/>
      <c r="C66" s="92"/>
      <c r="D66" s="92"/>
      <c r="E66" s="92"/>
      <c r="F66" s="92"/>
      <c r="G66" s="92"/>
      <c r="H66" s="60"/>
      <c r="I66" s="65"/>
      <c r="J66" s="65"/>
    </row>
    <row r="67" spans="2:12" ht="24" customHeight="1" x14ac:dyDescent="0.25">
      <c r="B67" s="59"/>
      <c r="C67" s="1425" t="s">
        <v>634</v>
      </c>
      <c r="D67" s="1426"/>
      <c r="E67" s="1426"/>
      <c r="F67" s="1426"/>
      <c r="G67" s="1427"/>
      <c r="H67" s="60"/>
      <c r="I67" s="65"/>
      <c r="J67" s="65"/>
    </row>
    <row r="68" spans="2:12" ht="24" customHeight="1" x14ac:dyDescent="0.25">
      <c r="B68" s="59"/>
      <c r="C68" s="703" t="s">
        <v>1153</v>
      </c>
      <c r="D68" s="1428" t="s">
        <v>846</v>
      </c>
      <c r="E68" s="1429"/>
      <c r="F68" s="1429"/>
      <c r="G68" s="1430"/>
      <c r="H68" s="60"/>
      <c r="I68" s="65"/>
      <c r="J68" s="65"/>
    </row>
    <row r="69" spans="2:12" ht="30.6" customHeight="1" x14ac:dyDescent="0.25">
      <c r="B69" s="59"/>
      <c r="C69" s="706"/>
      <c r="D69" s="1431" t="s">
        <v>845</v>
      </c>
      <c r="E69" s="1432"/>
      <c r="F69" s="1432"/>
      <c r="G69" s="1433"/>
      <c r="H69" s="60"/>
      <c r="I69" s="65"/>
      <c r="J69" s="65"/>
    </row>
    <row r="70" spans="2:12" ht="84.6" customHeight="1" x14ac:dyDescent="0.25">
      <c r="B70" s="59"/>
      <c r="C70" s="706"/>
      <c r="D70" s="1434" t="s">
        <v>1154</v>
      </c>
      <c r="E70" s="1435"/>
      <c r="F70" s="1435"/>
      <c r="G70" s="1436"/>
      <c r="H70" s="60"/>
      <c r="I70" s="65"/>
      <c r="J70" s="65"/>
    </row>
    <row r="71" spans="2:12" ht="39" customHeight="1" x14ac:dyDescent="0.25">
      <c r="B71" s="59"/>
      <c r="C71" s="708" t="s">
        <v>848</v>
      </c>
      <c r="D71" s="1437" t="s">
        <v>847</v>
      </c>
      <c r="E71" s="1438"/>
      <c r="F71" s="1439"/>
      <c r="G71" s="1108" t="s">
        <v>1277</v>
      </c>
      <c r="H71" s="60"/>
      <c r="I71" s="65"/>
      <c r="J71" s="65"/>
    </row>
    <row r="72" spans="2:12" ht="19.899999999999999" customHeight="1" x14ac:dyDescent="0.25">
      <c r="B72" s="59"/>
      <c r="C72" s="92"/>
      <c r="D72" s="92"/>
      <c r="E72" s="92"/>
      <c r="F72" s="92"/>
      <c r="G72" s="92"/>
      <c r="H72" s="60"/>
      <c r="I72" s="134"/>
      <c r="J72" s="65"/>
      <c r="L72" s="65"/>
    </row>
    <row r="73" spans="2:12" ht="60" customHeight="1" x14ac:dyDescent="0.25">
      <c r="B73" s="59"/>
      <c r="C73" s="1485" t="s">
        <v>178</v>
      </c>
      <c r="D73" s="1486"/>
      <c r="E73" s="1483" t="s">
        <v>843</v>
      </c>
      <c r="F73" s="1483"/>
      <c r="G73" s="1484"/>
      <c r="H73" s="60"/>
      <c r="I73" s="65"/>
      <c r="J73" s="90"/>
    </row>
    <row r="74" spans="2:12" ht="14.45" customHeight="1" x14ac:dyDescent="0.25">
      <c r="B74" s="59"/>
      <c r="H74" s="60"/>
      <c r="I74" s="65"/>
      <c r="J74" s="65"/>
    </row>
    <row r="75" spans="2:12" ht="24" customHeight="1" x14ac:dyDescent="0.25">
      <c r="B75" s="59"/>
      <c r="C75" s="1411" t="s">
        <v>499</v>
      </c>
      <c r="D75" s="1407"/>
      <c r="E75" s="1407"/>
      <c r="F75" s="1407"/>
      <c r="G75" s="115"/>
      <c r="H75" s="60"/>
      <c r="I75" s="65"/>
      <c r="J75" s="65"/>
    </row>
    <row r="76" spans="2:12" ht="24" customHeight="1" x14ac:dyDescent="0.25">
      <c r="B76" s="59"/>
      <c r="C76" s="92"/>
      <c r="D76" s="92"/>
      <c r="E76" s="1443" t="str">
        <f>IF(E73=FAListas!C60,"Seguir para o ponto 3. Resultados","")</f>
        <v/>
      </c>
      <c r="F76" s="1443"/>
      <c r="G76" s="1443"/>
      <c r="H76" s="60"/>
      <c r="I76" s="65"/>
      <c r="J76" s="65"/>
    </row>
    <row r="77" spans="2:12" ht="24" customHeight="1" x14ac:dyDescent="0.25">
      <c r="B77" s="59"/>
      <c r="C77" s="1425" t="s">
        <v>634</v>
      </c>
      <c r="D77" s="1426"/>
      <c r="E77" s="1426"/>
      <c r="F77" s="1426"/>
      <c r="G77" s="1427"/>
      <c r="H77" s="60"/>
      <c r="I77" s="65"/>
      <c r="J77" s="65"/>
    </row>
    <row r="78" spans="2:12" ht="40.15" customHeight="1" x14ac:dyDescent="0.25">
      <c r="B78" s="59"/>
      <c r="C78" s="703" t="s">
        <v>641</v>
      </c>
      <c r="D78" s="1410" t="s">
        <v>1302</v>
      </c>
      <c r="E78" s="1410"/>
      <c r="F78" s="1410"/>
      <c r="G78" s="1410"/>
      <c r="H78" s="60"/>
      <c r="I78" s="65"/>
      <c r="J78" s="65"/>
    </row>
    <row r="79" spans="2:12" ht="19.899999999999999" customHeight="1" x14ac:dyDescent="0.25">
      <c r="B79" s="59"/>
      <c r="C79" s="703" t="s">
        <v>676</v>
      </c>
      <c r="D79" s="1437" t="s">
        <v>1229</v>
      </c>
      <c r="E79" s="1438"/>
      <c r="F79" s="1438"/>
      <c r="G79" s="1440"/>
      <c r="H79" s="60"/>
      <c r="I79" s="65"/>
      <c r="J79" s="65"/>
    </row>
    <row r="80" spans="2:12" ht="77.45" customHeight="1" x14ac:dyDescent="0.25">
      <c r="B80" s="59"/>
      <c r="C80" s="704" t="s">
        <v>642</v>
      </c>
      <c r="D80" s="1441" t="s">
        <v>1150</v>
      </c>
      <c r="E80" s="1441"/>
      <c r="F80" s="1441"/>
      <c r="G80" s="1442"/>
      <c r="H80" s="60"/>
      <c r="I80" s="65"/>
      <c r="J80" s="65"/>
    </row>
    <row r="81" spans="2:13" ht="15.6" customHeight="1" x14ac:dyDescent="0.25">
      <c r="B81" s="59"/>
      <c r="C81" s="92"/>
      <c r="D81" s="707"/>
      <c r="E81" s="92"/>
      <c r="F81" s="92"/>
      <c r="G81" s="92"/>
      <c r="H81" s="60"/>
      <c r="I81" s="65"/>
      <c r="J81" s="65"/>
    </row>
    <row r="82" spans="2:13" ht="40.15" customHeight="1" x14ac:dyDescent="0.3">
      <c r="B82" s="59"/>
      <c r="C82" s="298" t="s">
        <v>324</v>
      </c>
      <c r="D82" s="574" t="s">
        <v>3</v>
      </c>
      <c r="E82" s="572" t="s">
        <v>751</v>
      </c>
      <c r="F82" s="1423" t="s">
        <v>640</v>
      </c>
      <c r="G82" s="1424"/>
      <c r="H82" s="68"/>
      <c r="I82" s="53"/>
      <c r="J82" s="94"/>
      <c r="K82" s="93"/>
    </row>
    <row r="83" spans="2:13" ht="30" customHeight="1" x14ac:dyDescent="0.3">
      <c r="B83" s="59"/>
      <c r="C83" s="395"/>
      <c r="D83" s="574"/>
      <c r="E83" s="580" t="str">
        <f>IFERROR(IF(SUM(E84:E88)=0, "",IF(SUM(E84:E88)&gt;100, "  A soma das TM é superior a 100%. Por favor, reveja.", IF(SUM(E84:E88)&lt;100, " A soma das TM é inferior a 100%. Por favor, reveja.", ""))),"")</f>
        <v/>
      </c>
      <c r="F83" s="300"/>
      <c r="G83" s="300"/>
      <c r="H83" s="68"/>
      <c r="I83" s="53"/>
      <c r="J83" s="94"/>
      <c r="K83" s="93"/>
    </row>
    <row r="84" spans="2:13" ht="60" customHeight="1" x14ac:dyDescent="0.25">
      <c r="B84" s="59"/>
      <c r="C84" s="293" t="s">
        <v>455</v>
      </c>
      <c r="D84" s="292" t="s">
        <v>77</v>
      </c>
      <c r="E84" s="1105"/>
      <c r="F84" s="1408" t="s">
        <v>160</v>
      </c>
      <c r="G84" s="1409"/>
      <c r="H84" s="69"/>
      <c r="I84" s="54"/>
      <c r="K84" s="90"/>
    </row>
    <row r="85" spans="2:13" ht="60" customHeight="1" x14ac:dyDescent="0.4">
      <c r="B85" s="59"/>
      <c r="C85" s="293" t="s">
        <v>456</v>
      </c>
      <c r="D85" s="292" t="s">
        <v>77</v>
      </c>
      <c r="E85" s="1105"/>
      <c r="F85" s="1408" t="s">
        <v>160</v>
      </c>
      <c r="G85" s="1409"/>
      <c r="H85" s="69"/>
      <c r="I85" s="54"/>
      <c r="J85" s="90"/>
      <c r="K85" s="90"/>
      <c r="M85" s="91"/>
    </row>
    <row r="86" spans="2:13" ht="60" customHeight="1" x14ac:dyDescent="0.25">
      <c r="B86" s="59"/>
      <c r="C86" s="293" t="s">
        <v>457</v>
      </c>
      <c r="D86" s="292" t="s">
        <v>77</v>
      </c>
      <c r="E86" s="1105"/>
      <c r="F86" s="1408" t="s">
        <v>160</v>
      </c>
      <c r="G86" s="1409"/>
      <c r="H86" s="69"/>
      <c r="I86" s="54"/>
      <c r="J86" s="90"/>
      <c r="K86" s="90"/>
    </row>
    <row r="87" spans="2:13" ht="60" customHeight="1" x14ac:dyDescent="0.25">
      <c r="B87" s="59"/>
      <c r="C87" s="293" t="s">
        <v>470</v>
      </c>
      <c r="D87" s="292" t="s">
        <v>77</v>
      </c>
      <c r="E87" s="1105"/>
      <c r="F87" s="1408" t="s">
        <v>160</v>
      </c>
      <c r="G87" s="1409"/>
      <c r="H87" s="69"/>
      <c r="I87" s="54"/>
      <c r="J87" s="90"/>
      <c r="K87" s="90"/>
    </row>
    <row r="88" spans="2:13" ht="60" customHeight="1" x14ac:dyDescent="0.25">
      <c r="B88" s="59"/>
      <c r="C88" s="293" t="s">
        <v>890</v>
      </c>
      <c r="D88" s="292" t="s">
        <v>77</v>
      </c>
      <c r="E88" s="1105"/>
      <c r="F88" s="1408" t="s">
        <v>160</v>
      </c>
      <c r="G88" s="1409"/>
      <c r="H88" s="69"/>
      <c r="I88" s="54"/>
      <c r="J88" s="90"/>
      <c r="K88" s="90"/>
    </row>
    <row r="89" spans="2:13" ht="40.15" customHeight="1" x14ac:dyDescent="0.25">
      <c r="B89" s="59"/>
      <c r="C89" s="396" t="s">
        <v>320</v>
      </c>
      <c r="D89" s="217"/>
      <c r="E89" s="572" t="s">
        <v>751</v>
      </c>
      <c r="F89" s="1423" t="s">
        <v>640</v>
      </c>
      <c r="G89" s="1424"/>
      <c r="H89" s="69"/>
      <c r="I89" s="54"/>
      <c r="J89" s="90"/>
      <c r="K89" s="90"/>
    </row>
    <row r="90" spans="2:13" ht="30" customHeight="1" x14ac:dyDescent="0.25">
      <c r="B90" s="59"/>
      <c r="C90" s="396"/>
      <c r="D90" s="217"/>
      <c r="E90" s="580" t="str">
        <f>IFERROR(IF(SUM(E91:E95)=0, "",IF(SUM(E91:E95)&gt;100, "  A soma das TM é superior a 100%. Por favor, reveja.", IF(SUM(E91:E95)&lt;100, " A soma das TM é inferior a 100%. Por favor, reveja.", ""))),"")</f>
        <v/>
      </c>
      <c r="F90" s="300"/>
      <c r="G90" s="300"/>
      <c r="H90" s="69"/>
      <c r="I90" s="54"/>
      <c r="J90" s="90"/>
      <c r="K90" s="90"/>
    </row>
    <row r="91" spans="2:13" s="446" customFormat="1" ht="60" customHeight="1" x14ac:dyDescent="0.3">
      <c r="B91" s="447"/>
      <c r="C91" s="293" t="s">
        <v>458</v>
      </c>
      <c r="D91" s="292" t="s">
        <v>77</v>
      </c>
      <c r="E91" s="1105"/>
      <c r="F91" s="1408" t="s">
        <v>160</v>
      </c>
      <c r="G91" s="1409"/>
      <c r="H91" s="306"/>
      <c r="I91" s="307"/>
      <c r="J91" s="308"/>
      <c r="K91" s="308"/>
    </row>
    <row r="92" spans="2:13" s="446" customFormat="1" ht="60" customHeight="1" x14ac:dyDescent="0.3">
      <c r="B92" s="447"/>
      <c r="C92" s="293" t="s">
        <v>459</v>
      </c>
      <c r="D92" s="292" t="s">
        <v>77</v>
      </c>
      <c r="E92" s="1105"/>
      <c r="F92" s="1408" t="s">
        <v>160</v>
      </c>
      <c r="G92" s="1409"/>
      <c r="H92" s="306"/>
      <c r="I92" s="307"/>
      <c r="J92" s="308"/>
      <c r="K92" s="308"/>
    </row>
    <row r="93" spans="2:13" s="446" customFormat="1" ht="60" customHeight="1" x14ac:dyDescent="0.3">
      <c r="B93" s="447"/>
      <c r="C93" s="293" t="s">
        <v>460</v>
      </c>
      <c r="D93" s="292" t="s">
        <v>77</v>
      </c>
      <c r="E93" s="1105"/>
      <c r="F93" s="1408" t="s">
        <v>160</v>
      </c>
      <c r="G93" s="1409"/>
      <c r="H93" s="306"/>
      <c r="I93" s="307"/>
      <c r="J93" s="308"/>
      <c r="K93" s="308"/>
    </row>
    <row r="94" spans="2:13" s="446" customFormat="1" ht="60" customHeight="1" x14ac:dyDescent="0.3">
      <c r="B94" s="447"/>
      <c r="C94" s="293" t="s">
        <v>461</v>
      </c>
      <c r="D94" s="292" t="s">
        <v>77</v>
      </c>
      <c r="E94" s="1105"/>
      <c r="F94" s="1408" t="s">
        <v>160</v>
      </c>
      <c r="G94" s="1409"/>
      <c r="H94" s="306"/>
      <c r="I94" s="307"/>
      <c r="J94" s="308"/>
      <c r="K94" s="308"/>
    </row>
    <row r="95" spans="2:13" s="446" customFormat="1" ht="60" customHeight="1" x14ac:dyDescent="0.3">
      <c r="B95" s="447"/>
      <c r="C95" s="293" t="s">
        <v>891</v>
      </c>
      <c r="D95" s="292" t="s">
        <v>77</v>
      </c>
      <c r="E95" s="1105"/>
      <c r="F95" s="1408" t="s">
        <v>160</v>
      </c>
      <c r="G95" s="1409"/>
      <c r="H95" s="306"/>
      <c r="I95" s="307"/>
      <c r="J95" s="308"/>
      <c r="K95" s="308"/>
    </row>
    <row r="96" spans="2:13" ht="40.15" customHeight="1" x14ac:dyDescent="0.25">
      <c r="B96" s="59"/>
      <c r="C96" s="304" t="s">
        <v>469</v>
      </c>
      <c r="D96" s="224"/>
      <c r="E96" s="572" t="s">
        <v>751</v>
      </c>
      <c r="F96" s="1423" t="s">
        <v>640</v>
      </c>
      <c r="G96" s="1424"/>
      <c r="H96" s="69"/>
      <c r="I96" s="54"/>
      <c r="J96" s="90"/>
      <c r="K96" s="90"/>
    </row>
    <row r="97" spans="2:11" ht="30" customHeight="1" x14ac:dyDescent="0.25">
      <c r="B97" s="59"/>
      <c r="C97" s="395"/>
      <c r="D97" s="246"/>
      <c r="E97" s="580" t="str">
        <f>IFERROR(IF(SUM(E98:E102)=0, "",IF(SUM(E98:E102)&gt;100, "  A soma das TM é superior a 100%. Por favor, reveja.", IF(SUM(E98:E102)&lt;100, " A soma das TM é inferior a 100%. Por favor, reveja.", ""))),"")</f>
        <v/>
      </c>
      <c r="F97" s="300"/>
      <c r="G97" s="300"/>
      <c r="H97" s="69"/>
      <c r="I97" s="54"/>
      <c r="J97" s="90"/>
      <c r="K97" s="90"/>
    </row>
    <row r="98" spans="2:11" s="446" customFormat="1" ht="60" customHeight="1" x14ac:dyDescent="0.3">
      <c r="B98" s="447"/>
      <c r="C98" s="293" t="s">
        <v>462</v>
      </c>
      <c r="D98" s="292" t="s">
        <v>77</v>
      </c>
      <c r="E98" s="1105"/>
      <c r="F98" s="1408" t="s">
        <v>160</v>
      </c>
      <c r="G98" s="1409"/>
      <c r="H98" s="306"/>
      <c r="I98" s="307"/>
      <c r="J98" s="308"/>
      <c r="K98" s="308"/>
    </row>
    <row r="99" spans="2:11" s="446" customFormat="1" ht="60" customHeight="1" x14ac:dyDescent="0.3">
      <c r="B99" s="447"/>
      <c r="C99" s="293" t="s">
        <v>463</v>
      </c>
      <c r="D99" s="292" t="s">
        <v>77</v>
      </c>
      <c r="E99" s="1105"/>
      <c r="F99" s="1408" t="s">
        <v>160</v>
      </c>
      <c r="G99" s="1409"/>
      <c r="H99" s="306"/>
      <c r="I99" s="307"/>
      <c r="J99" s="308"/>
      <c r="K99" s="308"/>
    </row>
    <row r="100" spans="2:11" s="446" customFormat="1" ht="60" customHeight="1" x14ac:dyDescent="0.3">
      <c r="B100" s="447"/>
      <c r="C100" s="293" t="s">
        <v>464</v>
      </c>
      <c r="D100" s="292" t="s">
        <v>77</v>
      </c>
      <c r="E100" s="1105"/>
      <c r="F100" s="1408" t="s">
        <v>160</v>
      </c>
      <c r="G100" s="1409"/>
      <c r="H100" s="306"/>
      <c r="I100" s="307"/>
      <c r="J100" s="308"/>
      <c r="K100" s="308"/>
    </row>
    <row r="101" spans="2:11" s="446" customFormat="1" ht="60" customHeight="1" x14ac:dyDescent="0.3">
      <c r="B101" s="447"/>
      <c r="C101" s="293" t="s">
        <v>465</v>
      </c>
      <c r="D101" s="292" t="s">
        <v>77</v>
      </c>
      <c r="E101" s="1105"/>
      <c r="F101" s="1408" t="s">
        <v>160</v>
      </c>
      <c r="G101" s="1409"/>
      <c r="H101" s="306"/>
      <c r="I101" s="307"/>
      <c r="J101" s="308"/>
      <c r="K101" s="308"/>
    </row>
    <row r="102" spans="2:11" s="446" customFormat="1" ht="60" customHeight="1" x14ac:dyDescent="0.3">
      <c r="B102" s="447"/>
      <c r="C102" s="293" t="s">
        <v>892</v>
      </c>
      <c r="D102" s="292" t="s">
        <v>77</v>
      </c>
      <c r="E102" s="1105"/>
      <c r="F102" s="1408" t="s">
        <v>160</v>
      </c>
      <c r="G102" s="1409"/>
      <c r="H102" s="306"/>
      <c r="I102" s="307"/>
      <c r="J102" s="308"/>
      <c r="K102" s="308"/>
    </row>
    <row r="103" spans="2:11" ht="40.15" customHeight="1" x14ac:dyDescent="0.25">
      <c r="B103" s="59"/>
      <c r="C103" s="304" t="s">
        <v>326</v>
      </c>
      <c r="D103" s="224"/>
      <c r="E103" s="572" t="s">
        <v>751</v>
      </c>
      <c r="F103" s="1423" t="s">
        <v>640</v>
      </c>
      <c r="G103" s="1424"/>
      <c r="H103" s="69"/>
      <c r="I103" s="54"/>
      <c r="J103" s="90"/>
      <c r="K103" s="90"/>
    </row>
    <row r="104" spans="2:11" ht="30" customHeight="1" x14ac:dyDescent="0.25">
      <c r="B104" s="59"/>
      <c r="C104" s="395"/>
      <c r="D104" s="246"/>
      <c r="E104" s="580" t="str">
        <f>IFERROR(IF(SUM(E105:E114)=0, "",IF(SUM(E105:E114)&gt;100, "  A soma das TM é superior a 100%. Por favor, reveja.", IF(SUM(E105:E114)&lt;100, " A soma das TM é inferior a 100%. Por favor, reveja.", ""))),"")</f>
        <v/>
      </c>
      <c r="F104" s="300"/>
      <c r="G104" s="300"/>
      <c r="H104" s="69"/>
      <c r="I104" s="54"/>
      <c r="J104" s="90"/>
      <c r="K104" s="90"/>
    </row>
    <row r="105" spans="2:11" s="446" customFormat="1" ht="60" customHeight="1" x14ac:dyDescent="0.3">
      <c r="B105" s="447"/>
      <c r="C105" s="293" t="s">
        <v>849</v>
      </c>
      <c r="D105" s="292" t="s">
        <v>77</v>
      </c>
      <c r="E105" s="1105"/>
      <c r="F105" s="1408" t="s">
        <v>160</v>
      </c>
      <c r="G105" s="1409"/>
      <c r="H105" s="306"/>
      <c r="I105" s="307"/>
      <c r="J105" s="437"/>
    </row>
    <row r="106" spans="2:11" s="446" customFormat="1" ht="60" customHeight="1" x14ac:dyDescent="0.3">
      <c r="B106" s="447"/>
      <c r="C106" s="293" t="s">
        <v>850</v>
      </c>
      <c r="D106" s="292" t="s">
        <v>77</v>
      </c>
      <c r="E106" s="1105"/>
      <c r="F106" s="1408" t="s">
        <v>160</v>
      </c>
      <c r="G106" s="1409"/>
      <c r="H106" s="306"/>
      <c r="I106" s="307"/>
      <c r="J106" s="437"/>
    </row>
    <row r="107" spans="2:11" s="446" customFormat="1" ht="60" customHeight="1" x14ac:dyDescent="0.3">
      <c r="B107" s="447"/>
      <c r="C107" s="293" t="s">
        <v>851</v>
      </c>
      <c r="D107" s="292" t="s">
        <v>77</v>
      </c>
      <c r="E107" s="1105"/>
      <c r="F107" s="1408" t="s">
        <v>160</v>
      </c>
      <c r="G107" s="1409"/>
      <c r="H107" s="306"/>
      <c r="I107" s="307"/>
      <c r="J107" s="437"/>
    </row>
    <row r="108" spans="2:11" s="446" customFormat="1" ht="60" customHeight="1" x14ac:dyDescent="0.3">
      <c r="B108" s="447"/>
      <c r="C108" s="293" t="s">
        <v>854</v>
      </c>
      <c r="D108" s="292" t="s">
        <v>77</v>
      </c>
      <c r="E108" s="1105"/>
      <c r="F108" s="1408" t="s">
        <v>160</v>
      </c>
      <c r="G108" s="1409"/>
      <c r="H108" s="306"/>
      <c r="I108" s="307"/>
      <c r="J108" s="437"/>
    </row>
    <row r="109" spans="2:11" s="446" customFormat="1" ht="60" customHeight="1" x14ac:dyDescent="0.3">
      <c r="B109" s="447"/>
      <c r="C109" s="293" t="s">
        <v>852</v>
      </c>
      <c r="D109" s="292" t="s">
        <v>77</v>
      </c>
      <c r="E109" s="1105"/>
      <c r="F109" s="1408" t="s">
        <v>160</v>
      </c>
      <c r="G109" s="1409"/>
      <c r="H109" s="306"/>
      <c r="I109" s="307"/>
      <c r="J109" s="437"/>
    </row>
    <row r="110" spans="2:11" s="446" customFormat="1" ht="60" customHeight="1" x14ac:dyDescent="0.3">
      <c r="B110" s="447"/>
      <c r="C110" s="293" t="s">
        <v>855</v>
      </c>
      <c r="D110" s="292" t="s">
        <v>77</v>
      </c>
      <c r="E110" s="1105"/>
      <c r="F110" s="1408" t="s">
        <v>160</v>
      </c>
      <c r="G110" s="1409"/>
      <c r="H110" s="306"/>
      <c r="I110" s="307"/>
      <c r="J110" s="437"/>
    </row>
    <row r="111" spans="2:11" s="446" customFormat="1" ht="60" customHeight="1" x14ac:dyDescent="0.3">
      <c r="B111" s="447"/>
      <c r="C111" s="293" t="s">
        <v>853</v>
      </c>
      <c r="D111" s="292" t="s">
        <v>77</v>
      </c>
      <c r="E111" s="1105"/>
      <c r="F111" s="1408" t="s">
        <v>160</v>
      </c>
      <c r="G111" s="1409"/>
      <c r="H111" s="306"/>
      <c r="I111" s="307"/>
      <c r="J111" s="437"/>
    </row>
    <row r="112" spans="2:11" s="446" customFormat="1" ht="60" customHeight="1" x14ac:dyDescent="0.3">
      <c r="B112" s="447"/>
      <c r="C112" s="293" t="s">
        <v>856</v>
      </c>
      <c r="D112" s="292" t="s">
        <v>77</v>
      </c>
      <c r="E112" s="1105"/>
      <c r="F112" s="1408" t="s">
        <v>160</v>
      </c>
      <c r="G112" s="1409"/>
      <c r="H112" s="306"/>
      <c r="I112" s="307"/>
      <c r="J112" s="437"/>
    </row>
    <row r="113" spans="2:11" s="446" customFormat="1" ht="60" customHeight="1" x14ac:dyDescent="0.3">
      <c r="B113" s="447"/>
      <c r="C113" s="293" t="s">
        <v>893</v>
      </c>
      <c r="D113" s="292" t="s">
        <v>77</v>
      </c>
      <c r="E113" s="1105"/>
      <c r="F113" s="1408" t="s">
        <v>160</v>
      </c>
      <c r="G113" s="1409"/>
      <c r="H113" s="306"/>
      <c r="I113" s="307"/>
      <c r="J113" s="437"/>
    </row>
    <row r="114" spans="2:11" s="446" customFormat="1" ht="60" customHeight="1" x14ac:dyDescent="0.3">
      <c r="B114" s="447"/>
      <c r="C114" s="293" t="s">
        <v>894</v>
      </c>
      <c r="D114" s="292" t="s">
        <v>77</v>
      </c>
      <c r="E114" s="1105"/>
      <c r="F114" s="1408" t="s">
        <v>160</v>
      </c>
      <c r="G114" s="1409"/>
      <c r="H114" s="306"/>
      <c r="I114" s="307"/>
      <c r="J114" s="437"/>
    </row>
    <row r="115" spans="2:11" ht="19.899999999999999" hidden="1" customHeight="1" x14ac:dyDescent="0.25">
      <c r="B115" s="59"/>
      <c r="C115" s="215" t="s">
        <v>194</v>
      </c>
      <c r="D115" s="215"/>
      <c r="E115" s="135" t="s">
        <v>146</v>
      </c>
      <c r="F115" s="135" t="s">
        <v>160</v>
      </c>
      <c r="G115" s="287" t="s">
        <v>160</v>
      </c>
      <c r="H115" s="69"/>
      <c r="I115" s="54"/>
      <c r="J115" s="55"/>
      <c r="K115" s="48"/>
    </row>
    <row r="116" spans="2:11" ht="19.899999999999999" hidden="1" customHeight="1" x14ac:dyDescent="0.25">
      <c r="B116" s="59"/>
      <c r="C116" s="87"/>
      <c r="D116" s="88"/>
      <c r="E116" s="105"/>
      <c r="F116" s="105"/>
      <c r="G116" s="287" t="s">
        <v>160</v>
      </c>
      <c r="H116" s="69"/>
      <c r="I116" s="54"/>
      <c r="J116" s="55"/>
      <c r="K116" s="48"/>
    </row>
    <row r="117" spans="2:11" ht="19.899999999999999" hidden="1" customHeight="1" x14ac:dyDescent="0.25">
      <c r="B117" s="59"/>
      <c r="C117" s="87"/>
      <c r="D117" s="88"/>
      <c r="E117" s="105"/>
      <c r="F117" s="105"/>
      <c r="G117" s="287" t="s">
        <v>160</v>
      </c>
      <c r="H117" s="69"/>
      <c r="I117" s="54"/>
      <c r="J117" s="55"/>
      <c r="K117" s="48"/>
    </row>
    <row r="118" spans="2:11" ht="19.899999999999999" hidden="1" customHeight="1" x14ac:dyDescent="0.25">
      <c r="B118" s="59"/>
      <c r="C118" s="87"/>
      <c r="D118" s="88"/>
      <c r="E118" s="105"/>
      <c r="F118" s="105"/>
      <c r="G118" s="287" t="s">
        <v>160</v>
      </c>
      <c r="H118" s="69"/>
      <c r="I118" s="54"/>
      <c r="J118" s="55"/>
      <c r="K118" s="48"/>
    </row>
    <row r="119" spans="2:11" ht="19.899999999999999" hidden="1" customHeight="1" x14ac:dyDescent="0.25">
      <c r="B119" s="59"/>
      <c r="C119" s="87"/>
      <c r="D119" s="88"/>
      <c r="E119" s="105"/>
      <c r="F119" s="105"/>
      <c r="G119" s="287" t="s">
        <v>160</v>
      </c>
      <c r="H119" s="69"/>
      <c r="I119" s="54"/>
      <c r="J119" s="55"/>
      <c r="K119" s="48"/>
    </row>
    <row r="120" spans="2:11" ht="19.899999999999999" hidden="1" customHeight="1" x14ac:dyDescent="0.25">
      <c r="B120" s="59"/>
      <c r="C120" s="87"/>
      <c r="D120" s="88"/>
      <c r="E120" s="105"/>
      <c r="F120" s="105"/>
      <c r="G120" s="287" t="s">
        <v>160</v>
      </c>
      <c r="H120" s="69"/>
      <c r="I120" s="54"/>
      <c r="J120" s="55"/>
      <c r="K120" s="48"/>
    </row>
    <row r="121" spans="2:11" ht="19.899999999999999" hidden="1" customHeight="1" x14ac:dyDescent="0.25">
      <c r="B121" s="59"/>
      <c r="C121" s="87"/>
      <c r="D121" s="88"/>
      <c r="E121" s="105"/>
      <c r="F121" s="105"/>
      <c r="G121" s="287" t="s">
        <v>160</v>
      </c>
      <c r="H121" s="69"/>
      <c r="I121" s="54"/>
      <c r="J121" s="55"/>
      <c r="K121" s="48"/>
    </row>
    <row r="122" spans="2:11" ht="19.899999999999999" hidden="1" customHeight="1" x14ac:dyDescent="0.25">
      <c r="B122" s="59"/>
      <c r="C122" s="87"/>
      <c r="D122" s="88"/>
      <c r="E122" s="105"/>
      <c r="F122" s="105"/>
      <c r="G122" s="287" t="s">
        <v>160</v>
      </c>
      <c r="H122" s="69"/>
      <c r="I122" s="54"/>
      <c r="J122" s="55"/>
      <c r="K122" s="48"/>
    </row>
    <row r="123" spans="2:11" ht="19.899999999999999" hidden="1" customHeight="1" x14ac:dyDescent="0.25">
      <c r="B123" s="59"/>
      <c r="C123" s="87"/>
      <c r="D123" s="88"/>
      <c r="E123" s="105"/>
      <c r="F123" s="105"/>
      <c r="G123" s="287" t="s">
        <v>160</v>
      </c>
      <c r="H123" s="69"/>
      <c r="I123" s="54"/>
      <c r="J123" s="55"/>
      <c r="K123" s="48"/>
    </row>
    <row r="124" spans="2:11" ht="19.899999999999999" hidden="1" customHeight="1" x14ac:dyDescent="0.25">
      <c r="B124" s="59"/>
      <c r="C124" s="87"/>
      <c r="D124" s="88"/>
      <c r="E124" s="105"/>
      <c r="F124" s="105"/>
      <c r="G124" s="287" t="s">
        <v>160</v>
      </c>
      <c r="H124" s="69"/>
      <c r="I124" s="54"/>
      <c r="J124" s="55"/>
      <c r="K124" s="48"/>
    </row>
    <row r="125" spans="2:11" ht="19.899999999999999" hidden="1" customHeight="1" x14ac:dyDescent="0.25">
      <c r="B125" s="59"/>
      <c r="C125" s="87"/>
      <c r="D125" s="88"/>
      <c r="E125" s="88"/>
      <c r="F125" s="88"/>
      <c r="G125" s="287" t="s">
        <v>160</v>
      </c>
      <c r="H125" s="69"/>
      <c r="I125" s="54"/>
      <c r="J125" s="55"/>
      <c r="K125" s="48"/>
    </row>
    <row r="126" spans="2:11" ht="19.899999999999999" hidden="1" customHeight="1" x14ac:dyDescent="0.25">
      <c r="B126" s="59"/>
      <c r="C126" s="1411" t="s">
        <v>159</v>
      </c>
      <c r="D126" s="1407"/>
      <c r="E126" s="1407"/>
      <c r="F126" s="1407"/>
      <c r="G126" s="287" t="s">
        <v>160</v>
      </c>
      <c r="H126" s="69"/>
      <c r="I126" s="54"/>
      <c r="J126" s="55"/>
      <c r="K126" s="48"/>
    </row>
    <row r="127" spans="2:11" ht="19.899999999999999" hidden="1" customHeight="1" x14ac:dyDescent="0.25">
      <c r="B127" s="59"/>
      <c r="C127" s="92"/>
      <c r="D127" s="92"/>
      <c r="E127" s="92"/>
      <c r="F127" s="92"/>
      <c r="G127" s="287" t="s">
        <v>160</v>
      </c>
      <c r="H127" s="69"/>
      <c r="I127" s="54"/>
      <c r="J127" s="55"/>
      <c r="K127" s="48"/>
    </row>
    <row r="128" spans="2:11" ht="19.899999999999999" hidden="1" customHeight="1" x14ac:dyDescent="0.25">
      <c r="B128" s="59"/>
      <c r="C128" s="1480"/>
      <c r="D128" s="1480"/>
      <c r="E128" s="1480"/>
      <c r="F128" s="1480"/>
      <c r="G128" s="287" t="s">
        <v>160</v>
      </c>
      <c r="H128" s="69"/>
      <c r="I128" s="54"/>
      <c r="J128" s="55"/>
      <c r="K128" s="48"/>
    </row>
    <row r="129" spans="2:12" ht="19.899999999999999" hidden="1" customHeight="1" x14ac:dyDescent="0.25">
      <c r="B129" s="59"/>
      <c r="C129" s="95"/>
      <c r="D129" s="95"/>
      <c r="E129" s="95"/>
      <c r="F129" s="95"/>
      <c r="G129" s="287" t="s">
        <v>160</v>
      </c>
      <c r="H129" s="69"/>
      <c r="I129" s="54"/>
      <c r="J129" s="55"/>
      <c r="K129" s="48"/>
    </row>
    <row r="130" spans="2:12" ht="19.899999999999999" hidden="1" customHeight="1" x14ac:dyDescent="0.4">
      <c r="B130" s="59"/>
      <c r="C130" s="98" t="s">
        <v>166</v>
      </c>
      <c r="D130" s="84" t="s">
        <v>3</v>
      </c>
      <c r="E130" s="83" t="s">
        <v>157</v>
      </c>
      <c r="F130" s="85" t="s">
        <v>158</v>
      </c>
      <c r="G130" s="287" t="s">
        <v>160</v>
      </c>
      <c r="H130" s="69"/>
      <c r="I130" s="54"/>
      <c r="J130" s="55"/>
      <c r="K130" s="48"/>
    </row>
    <row r="131" spans="2:12" ht="19.899999999999999" hidden="1" customHeight="1" x14ac:dyDescent="0.25">
      <c r="B131" s="59"/>
      <c r="C131" s="1448" t="s">
        <v>156</v>
      </c>
      <c r="D131" s="1448"/>
      <c r="E131" s="1448"/>
      <c r="F131" s="1448"/>
      <c r="G131" s="287" t="s">
        <v>160</v>
      </c>
      <c r="H131" s="69"/>
      <c r="I131" s="54"/>
      <c r="J131" s="55" t="s">
        <v>174</v>
      </c>
      <c r="K131" s="48"/>
    </row>
    <row r="132" spans="2:12" ht="19.899999999999999" hidden="1" customHeight="1" x14ac:dyDescent="0.25">
      <c r="B132" s="59"/>
      <c r="C132" s="97" t="s">
        <v>167</v>
      </c>
      <c r="D132" s="74" t="s">
        <v>155</v>
      </c>
      <c r="E132" s="82" t="s">
        <v>147</v>
      </c>
      <c r="F132" s="86" t="s">
        <v>160</v>
      </c>
      <c r="G132" s="287" t="s">
        <v>160</v>
      </c>
      <c r="H132" s="69"/>
      <c r="I132" s="54"/>
      <c r="J132" s="55" t="s">
        <v>175</v>
      </c>
      <c r="K132" s="48"/>
    </row>
    <row r="133" spans="2:12" ht="19.899999999999999" hidden="1" customHeight="1" x14ac:dyDescent="0.25">
      <c r="B133" s="59"/>
      <c r="C133" s="97" t="s">
        <v>168</v>
      </c>
      <c r="D133" s="74" t="s">
        <v>155</v>
      </c>
      <c r="E133" s="82" t="s">
        <v>147</v>
      </c>
      <c r="F133" s="86" t="s">
        <v>160</v>
      </c>
      <c r="G133" s="287" t="s">
        <v>160</v>
      </c>
      <c r="H133" s="69"/>
      <c r="I133" s="54"/>
      <c r="J133" s="55"/>
      <c r="K133" s="48"/>
    </row>
    <row r="134" spans="2:12" ht="19.899999999999999" hidden="1" customHeight="1" x14ac:dyDescent="0.25">
      <c r="B134" s="59"/>
      <c r="C134" s="1448" t="s">
        <v>129</v>
      </c>
      <c r="D134" s="1448"/>
      <c r="E134" s="1448"/>
      <c r="F134" s="1448"/>
      <c r="G134" s="287" t="s">
        <v>160</v>
      </c>
      <c r="H134" s="69"/>
      <c r="I134" s="54"/>
      <c r="J134" s="55"/>
      <c r="K134" s="48"/>
    </row>
    <row r="135" spans="2:12" ht="19.899999999999999" hidden="1" customHeight="1" x14ac:dyDescent="0.25">
      <c r="B135" s="59"/>
      <c r="C135" s="73" t="s">
        <v>163</v>
      </c>
      <c r="D135" s="74" t="s">
        <v>155</v>
      </c>
      <c r="E135" s="82" t="s">
        <v>147</v>
      </c>
      <c r="F135" s="86" t="s">
        <v>160</v>
      </c>
      <c r="G135" s="287" t="s">
        <v>160</v>
      </c>
      <c r="H135" s="69"/>
      <c r="I135" s="54"/>
      <c r="J135" s="55"/>
      <c r="K135" s="48"/>
    </row>
    <row r="136" spans="2:12" ht="19.899999999999999" hidden="1" customHeight="1" x14ac:dyDescent="0.25">
      <c r="B136" s="59"/>
      <c r="C136" s="73" t="s">
        <v>165</v>
      </c>
      <c r="D136" s="74" t="s">
        <v>155</v>
      </c>
      <c r="E136" s="82" t="s">
        <v>147</v>
      </c>
      <c r="F136" s="86" t="s">
        <v>160</v>
      </c>
      <c r="G136" s="287" t="s">
        <v>160</v>
      </c>
      <c r="H136" s="69"/>
      <c r="I136" s="54"/>
      <c r="J136" s="55"/>
      <c r="K136" s="48"/>
    </row>
    <row r="137" spans="2:12" ht="19.899999999999999" hidden="1" customHeight="1" x14ac:dyDescent="0.25">
      <c r="B137" s="59"/>
      <c r="C137" s="99" t="s">
        <v>16</v>
      </c>
      <c r="D137" s="99"/>
      <c r="E137" s="99"/>
      <c r="F137" s="99"/>
      <c r="G137" s="287" t="s">
        <v>160</v>
      </c>
      <c r="H137" s="69"/>
      <c r="I137" s="54"/>
      <c r="J137" s="55"/>
      <c r="K137" s="48"/>
    </row>
    <row r="138" spans="2:12" ht="19.899999999999999" hidden="1" customHeight="1" x14ac:dyDescent="0.25">
      <c r="B138" s="59"/>
      <c r="C138" s="73" t="s">
        <v>163</v>
      </c>
      <c r="D138" s="74" t="s">
        <v>155</v>
      </c>
      <c r="E138" s="82" t="s">
        <v>147</v>
      </c>
      <c r="F138" s="86" t="s">
        <v>160</v>
      </c>
      <c r="G138" s="287" t="s">
        <v>160</v>
      </c>
      <c r="H138" s="69"/>
      <c r="I138" s="54"/>
      <c r="J138" s="55"/>
      <c r="K138" s="48"/>
    </row>
    <row r="139" spans="2:12" ht="19.899999999999999" hidden="1" customHeight="1" x14ac:dyDescent="0.25">
      <c r="B139" s="59"/>
      <c r="C139" s="73" t="s">
        <v>164</v>
      </c>
      <c r="D139" s="74" t="s">
        <v>155</v>
      </c>
      <c r="E139" s="82" t="s">
        <v>147</v>
      </c>
      <c r="F139" s="86" t="s">
        <v>160</v>
      </c>
      <c r="G139" s="287" t="s">
        <v>160</v>
      </c>
      <c r="H139" s="69"/>
      <c r="I139" s="54"/>
      <c r="J139" s="55"/>
      <c r="K139" s="48"/>
    </row>
    <row r="140" spans="2:12" ht="19.899999999999999" hidden="1" customHeight="1" x14ac:dyDescent="0.25">
      <c r="B140" s="59"/>
      <c r="C140" s="1448" t="s">
        <v>134</v>
      </c>
      <c r="D140" s="1448"/>
      <c r="E140" s="1448"/>
      <c r="F140" s="1448"/>
      <c r="G140" s="287" t="s">
        <v>160</v>
      </c>
      <c r="H140" s="69"/>
      <c r="I140" s="54"/>
      <c r="J140" s="55"/>
      <c r="K140" s="48"/>
    </row>
    <row r="141" spans="2:12" ht="19.899999999999999" hidden="1" customHeight="1" x14ac:dyDescent="0.25">
      <c r="B141" s="59"/>
      <c r="C141" s="73" t="s">
        <v>163</v>
      </c>
      <c r="D141" s="74" t="s">
        <v>155</v>
      </c>
      <c r="E141" s="82" t="s">
        <v>147</v>
      </c>
      <c r="F141" s="86" t="s">
        <v>160</v>
      </c>
      <c r="G141" s="287" t="s">
        <v>160</v>
      </c>
      <c r="H141" s="69"/>
      <c r="I141" s="54"/>
      <c r="J141" s="55"/>
      <c r="K141" s="48"/>
    </row>
    <row r="142" spans="2:12" ht="19.899999999999999" hidden="1" customHeight="1" x14ac:dyDescent="0.25">
      <c r="B142" s="59"/>
      <c r="C142" s="73" t="s">
        <v>164</v>
      </c>
      <c r="D142" s="74" t="s">
        <v>155</v>
      </c>
      <c r="E142" s="82" t="s">
        <v>147</v>
      </c>
      <c r="F142" s="86" t="s">
        <v>160</v>
      </c>
      <c r="G142" s="287" t="s">
        <v>160</v>
      </c>
      <c r="H142" s="69"/>
      <c r="I142" s="54"/>
      <c r="J142" s="54"/>
      <c r="K142" s="54"/>
      <c r="L142" s="54"/>
    </row>
    <row r="143" spans="2:12" ht="19.899999999999999" hidden="1" customHeight="1" x14ac:dyDescent="0.25">
      <c r="B143" s="59"/>
      <c r="C143" s="1448" t="s">
        <v>161</v>
      </c>
      <c r="D143" s="1448"/>
      <c r="E143" s="1448"/>
      <c r="F143" s="1448"/>
      <c r="G143" s="287" t="s">
        <v>160</v>
      </c>
      <c r="H143" s="69"/>
      <c r="I143" s="54"/>
      <c r="J143" s="54"/>
      <c r="K143" s="54"/>
      <c r="L143" s="54"/>
    </row>
    <row r="144" spans="2:12" ht="19.899999999999999" hidden="1" customHeight="1" x14ac:dyDescent="0.25">
      <c r="B144" s="59"/>
      <c r="C144" s="73" t="s">
        <v>162</v>
      </c>
      <c r="D144" s="74" t="s">
        <v>155</v>
      </c>
      <c r="E144" s="82" t="s">
        <v>147</v>
      </c>
      <c r="F144" s="86" t="s">
        <v>160</v>
      </c>
      <c r="G144" s="287" t="s">
        <v>160</v>
      </c>
      <c r="H144" s="69"/>
      <c r="I144" s="54"/>
      <c r="J144" s="54"/>
      <c r="K144" s="54"/>
      <c r="L144" s="54"/>
    </row>
    <row r="145" spans="2:19" ht="15" customHeight="1" x14ac:dyDescent="0.25">
      <c r="B145" s="61"/>
      <c r="C145" s="75"/>
      <c r="D145" s="76"/>
      <c r="E145" s="76"/>
      <c r="F145" s="76"/>
      <c r="G145" s="76"/>
      <c r="H145" s="70"/>
      <c r="I145" s="54"/>
      <c r="J145" s="54"/>
      <c r="K145" s="54"/>
      <c r="L145" s="54"/>
    </row>
    <row r="153" spans="2:19" ht="39" x14ac:dyDescent="0.25">
      <c r="B153" s="66"/>
      <c r="C153" s="66" t="s">
        <v>494</v>
      </c>
      <c r="D153" s="57"/>
      <c r="E153" s="57"/>
      <c r="F153" s="57"/>
      <c r="G153" s="57"/>
      <c r="H153" s="58"/>
    </row>
    <row r="154" spans="2:19" ht="24" customHeight="1" x14ac:dyDescent="0.25">
      <c r="B154" s="59"/>
      <c r="H154" s="60"/>
    </row>
    <row r="155" spans="2:19" ht="24" customHeight="1" x14ac:dyDescent="0.25">
      <c r="B155" s="59"/>
      <c r="C155" s="1411" t="s">
        <v>857</v>
      </c>
      <c r="D155" s="1407"/>
      <c r="E155" s="1407"/>
      <c r="F155" s="1407"/>
      <c r="G155" s="115"/>
      <c r="H155" s="60"/>
      <c r="J155" s="55"/>
      <c r="K155" s="64"/>
      <c r="R155" s="55"/>
      <c r="S155" s="48"/>
    </row>
    <row r="156" spans="2:19" ht="40.15" customHeight="1" x14ac:dyDescent="0.25">
      <c r="B156" s="59"/>
      <c r="C156" s="592" t="s">
        <v>114</v>
      </c>
      <c r="D156" s="593" t="s">
        <v>3</v>
      </c>
      <c r="E156" s="593" t="s">
        <v>671</v>
      </c>
      <c r="F156" s="593" t="s">
        <v>673</v>
      </c>
      <c r="G156" s="212"/>
      <c r="H156" s="60"/>
      <c r="J156" s="55"/>
      <c r="K156" s="64"/>
      <c r="R156" s="55"/>
      <c r="S156" s="48"/>
    </row>
    <row r="157" spans="2:19" ht="40.15" customHeight="1" x14ac:dyDescent="0.25">
      <c r="B157" s="59"/>
      <c r="C157" s="311" t="s">
        <v>885</v>
      </c>
      <c r="D157" s="312" t="s">
        <v>681</v>
      </c>
      <c r="E157" s="522" t="str">
        <f>IFERROR(FACalc_micromobilidade!D134,"")</f>
        <v/>
      </c>
      <c r="F157" s="523" t="str">
        <f>IFERROR(FACalc_micromobilidade!E134,"")</f>
        <v/>
      </c>
      <c r="G157" s="213"/>
      <c r="H157" s="60"/>
      <c r="J157" s="55"/>
      <c r="K157" s="64"/>
      <c r="R157" s="55"/>
      <c r="S157" s="48"/>
    </row>
    <row r="158" spans="2:19" ht="40.15" customHeight="1" x14ac:dyDescent="0.25">
      <c r="B158" s="59"/>
      <c r="C158" s="313" t="s">
        <v>867</v>
      </c>
      <c r="D158" s="314" t="s">
        <v>681</v>
      </c>
      <c r="E158" s="524">
        <f>IFERROR(FACalc_micromobilidade!D135,"")</f>
        <v>0</v>
      </c>
      <c r="F158" s="525">
        <f>IFERROR(FACalc_micromobilidade!E135,"")</f>
        <v>0</v>
      </c>
      <c r="G158" s="604" t="str">
        <f>IF(F21="", "!Preencher Fator de Emissão de eletricidade","")</f>
        <v>!Preencher Fator de Emissão de eletricidade</v>
      </c>
      <c r="H158" s="60"/>
      <c r="J158" s="55"/>
      <c r="K158" s="64"/>
      <c r="R158" s="55"/>
      <c r="S158" s="48"/>
    </row>
    <row r="159" spans="2:19" ht="40.15" customHeight="1" x14ac:dyDescent="0.25">
      <c r="B159" s="59"/>
      <c r="C159" s="316" t="s">
        <v>868</v>
      </c>
      <c r="D159" s="317" t="s">
        <v>681</v>
      </c>
      <c r="E159" s="526" t="str">
        <f>IFERROR(FACalc_micromobilidade!D136,"")</f>
        <v/>
      </c>
      <c r="F159" s="527" t="str">
        <f>IFERROR(FACalc_micromobilidade!E136,"")</f>
        <v/>
      </c>
      <c r="G159" s="213"/>
      <c r="H159" s="60"/>
      <c r="J159" s="55"/>
      <c r="K159" s="64"/>
      <c r="R159" s="55"/>
      <c r="S159" s="48"/>
    </row>
    <row r="160" spans="2:19" ht="40.15" customHeight="1" x14ac:dyDescent="0.25">
      <c r="B160" s="59"/>
      <c r="C160" s="598" t="s">
        <v>1059</v>
      </c>
      <c r="D160" s="599" t="s">
        <v>681</v>
      </c>
      <c r="E160" s="600" t="str">
        <f>IFERROR(-E157,"")</f>
        <v/>
      </c>
      <c r="F160" s="601" t="str">
        <f>IFERROR(-F157,"")</f>
        <v/>
      </c>
      <c r="G160" s="213"/>
      <c r="H160" s="60"/>
      <c r="J160" s="55"/>
      <c r="K160" s="64"/>
      <c r="R160" s="55"/>
      <c r="S160" s="48"/>
    </row>
    <row r="161" spans="2:19" ht="40.15" customHeight="1" x14ac:dyDescent="0.25">
      <c r="B161" s="59"/>
      <c r="C161" s="320" t="s">
        <v>441</v>
      </c>
      <c r="D161" s="321" t="s">
        <v>784</v>
      </c>
      <c r="E161" s="528" t="str">
        <f>IFERROR(FACalc_micromobilidade!D137,"")</f>
        <v/>
      </c>
      <c r="F161" s="529" t="s">
        <v>107</v>
      </c>
      <c r="G161" s="213"/>
      <c r="H161" s="60"/>
      <c r="J161" s="55"/>
      <c r="K161" s="64"/>
      <c r="R161" s="55"/>
      <c r="S161" s="48"/>
    </row>
    <row r="162" spans="2:19" ht="57.6" customHeight="1" x14ac:dyDescent="0.25">
      <c r="B162" s="59"/>
      <c r="C162" s="1247" t="s">
        <v>1320</v>
      </c>
      <c r="D162" s="321" t="s">
        <v>681</v>
      </c>
      <c r="E162" s="528">
        <f>IFERROR(FACalc_micromobilidade!D138,"")</f>
        <v>0</v>
      </c>
      <c r="F162" s="529" t="s">
        <v>107</v>
      </c>
      <c r="G162" s="213"/>
      <c r="H162" s="60"/>
      <c r="J162" s="55"/>
      <c r="K162" s="64"/>
      <c r="R162" s="55"/>
      <c r="S162" s="48"/>
    </row>
    <row r="163" spans="2:19" ht="48" customHeight="1" x14ac:dyDescent="0.25">
      <c r="B163" s="59"/>
      <c r="C163" s="605" t="s">
        <v>530</v>
      </c>
      <c r="D163" s="1238" t="s">
        <v>1303</v>
      </c>
      <c r="E163" s="606" t="str">
        <f>IFERROR(FACalc_micromobilidade!D139,"")</f>
        <v/>
      </c>
      <c r="F163" s="607" t="str">
        <f>IFERROR(FACalc_micromobilidade!E139,"")</f>
        <v/>
      </c>
      <c r="G163" s="682" t="str">
        <f>IF(E163="","!Preencher Ano de início da exploração (ID_Identificação do Projeto)","" )</f>
        <v>!Preencher Ano de início da exploração (ID_Identificação do Projeto)</v>
      </c>
      <c r="H163" s="60"/>
      <c r="J163" s="55"/>
      <c r="K163" s="48"/>
      <c r="R163" s="55"/>
      <c r="S163" s="48"/>
    </row>
    <row r="164" spans="2:19" ht="19.899999999999999" customHeight="1" x14ac:dyDescent="0.25">
      <c r="B164" s="59"/>
      <c r="C164" s="87"/>
      <c r="D164" s="88"/>
      <c r="E164" s="88"/>
      <c r="F164" s="88"/>
      <c r="G164" s="88"/>
      <c r="H164" s="60"/>
      <c r="J164" s="55"/>
      <c r="K164" s="48"/>
      <c r="R164" s="55"/>
      <c r="S164" s="48"/>
    </row>
    <row r="165" spans="2:19" ht="26.45" customHeight="1" x14ac:dyDescent="0.25">
      <c r="B165" s="59"/>
      <c r="C165" s="1407" t="s">
        <v>682</v>
      </c>
      <c r="D165" s="1407"/>
      <c r="E165" s="1407"/>
      <c r="F165" s="1407"/>
      <c r="G165" s="115"/>
      <c r="H165" s="60"/>
      <c r="J165" s="55"/>
      <c r="K165" s="48"/>
      <c r="R165" s="55"/>
      <c r="S165" s="48"/>
    </row>
    <row r="166" spans="2:19" ht="40.15" customHeight="1" x14ac:dyDescent="0.25">
      <c r="B166" s="59"/>
      <c r="C166" s="304" t="s">
        <v>324</v>
      </c>
      <c r="D166" s="224"/>
      <c r="E166" s="591" t="s">
        <v>671</v>
      </c>
      <c r="F166" s="591" t="s">
        <v>673</v>
      </c>
      <c r="G166" s="214"/>
      <c r="H166" s="60"/>
      <c r="J166" s="55"/>
      <c r="K166" s="48"/>
      <c r="R166" s="55"/>
      <c r="S166" s="48"/>
    </row>
    <row r="167" spans="2:19" ht="40.15" customHeight="1" x14ac:dyDescent="0.25">
      <c r="B167" s="59"/>
      <c r="C167" s="451" t="s">
        <v>500</v>
      </c>
      <c r="D167" s="330" t="s">
        <v>681</v>
      </c>
      <c r="E167" s="487" t="str">
        <f>IFERROR(FACalc_micromobilidade!I126,"")</f>
        <v/>
      </c>
      <c r="F167" s="492" t="str">
        <f>IFERROR(FACalc_micromobilidade!J126,"")</f>
        <v/>
      </c>
      <c r="G167" s="213"/>
      <c r="H167" s="60"/>
      <c r="J167" s="207"/>
      <c r="K167" s="48"/>
      <c r="R167" s="55"/>
      <c r="S167" s="48"/>
    </row>
    <row r="168" spans="2:19" ht="40.15" customHeight="1" x14ac:dyDescent="0.25">
      <c r="B168" s="59"/>
      <c r="C168" s="452" t="s">
        <v>334</v>
      </c>
      <c r="D168" s="332" t="s">
        <v>681</v>
      </c>
      <c r="E168" s="518">
        <f>IFERROR(FACalc_micromobilidade!I127,"")</f>
        <v>0</v>
      </c>
      <c r="F168" s="519">
        <f>IFERROR(FACalc_micromobilidade!J127,"")</f>
        <v>0</v>
      </c>
      <c r="G168" s="213"/>
      <c r="H168" s="60"/>
      <c r="J168" s="55"/>
      <c r="K168" s="48"/>
      <c r="R168" s="55"/>
      <c r="S168" s="48"/>
    </row>
    <row r="169" spans="2:19" ht="40.15" customHeight="1" x14ac:dyDescent="0.25">
      <c r="B169" s="59"/>
      <c r="C169" s="453" t="s">
        <v>468</v>
      </c>
      <c r="D169" s="334" t="s">
        <v>681</v>
      </c>
      <c r="E169" s="490" t="str">
        <f>IFERROR(FACalc_micromobilidade!I128,"")</f>
        <v/>
      </c>
      <c r="F169" s="494" t="str">
        <f>IFERROR(FACalc_micromobilidade!J128,"")</f>
        <v/>
      </c>
      <c r="G169" s="213"/>
      <c r="H169" s="60"/>
      <c r="J169" s="55"/>
      <c r="K169" s="48"/>
      <c r="R169" s="55"/>
      <c r="S169" s="48"/>
    </row>
    <row r="170" spans="2:19" ht="40.15" customHeight="1" x14ac:dyDescent="0.25">
      <c r="B170" s="59"/>
      <c r="C170" s="395" t="s">
        <v>320</v>
      </c>
      <c r="D170" s="246"/>
      <c r="E170" s="591" t="s">
        <v>671</v>
      </c>
      <c r="F170" s="591" t="s">
        <v>673</v>
      </c>
      <c r="G170" s="214"/>
      <c r="H170" s="60"/>
      <c r="J170" s="55"/>
      <c r="K170" s="48"/>
      <c r="R170" s="55"/>
      <c r="S170" s="48"/>
    </row>
    <row r="171" spans="2:19" ht="40.15" customHeight="1" x14ac:dyDescent="0.25">
      <c r="B171" s="59"/>
      <c r="C171" s="451" t="s">
        <v>500</v>
      </c>
      <c r="D171" s="330" t="s">
        <v>681</v>
      </c>
      <c r="E171" s="487" t="str">
        <f>IFERROR(FACalc_micromobilidade!I130,"")</f>
        <v/>
      </c>
      <c r="F171" s="492" t="str">
        <f>IFERROR(FACalc_micromobilidade!J130,"")</f>
        <v/>
      </c>
      <c r="G171" s="213"/>
      <c r="H171" s="60"/>
      <c r="J171" s="55"/>
      <c r="K171" s="48"/>
      <c r="R171" s="55"/>
      <c r="S171" s="48"/>
    </row>
    <row r="172" spans="2:19" ht="40.15" customHeight="1" x14ac:dyDescent="0.25">
      <c r="B172" s="59"/>
      <c r="C172" s="452" t="s">
        <v>334</v>
      </c>
      <c r="D172" s="332" t="s">
        <v>681</v>
      </c>
      <c r="E172" s="518">
        <f>IFERROR(FACalc_micromobilidade!I131,"")</f>
        <v>0</v>
      </c>
      <c r="F172" s="519">
        <f>IFERROR(FACalc_micromobilidade!J131,"")</f>
        <v>0</v>
      </c>
      <c r="G172" s="213"/>
      <c r="H172" s="60"/>
      <c r="J172" s="54"/>
      <c r="K172" s="54"/>
      <c r="R172" s="55"/>
      <c r="S172" s="48"/>
    </row>
    <row r="173" spans="2:19" ht="40.15" customHeight="1" x14ac:dyDescent="0.25">
      <c r="B173" s="59"/>
      <c r="C173" s="453" t="s">
        <v>468</v>
      </c>
      <c r="D173" s="334" t="s">
        <v>681</v>
      </c>
      <c r="E173" s="490" t="str">
        <f>IFERROR(FACalc_micromobilidade!I132,"")</f>
        <v/>
      </c>
      <c r="F173" s="494" t="str">
        <f>IFERROR(FACalc_micromobilidade!J132,"")</f>
        <v/>
      </c>
      <c r="G173" s="213"/>
      <c r="H173" s="60"/>
      <c r="J173" s="54" t="s">
        <v>112</v>
      </c>
      <c r="K173" s="54"/>
      <c r="R173" s="55"/>
      <c r="S173" s="48"/>
    </row>
    <row r="174" spans="2:19" ht="40.15" customHeight="1" x14ac:dyDescent="0.25">
      <c r="B174" s="59"/>
      <c r="C174" s="395" t="s">
        <v>327</v>
      </c>
      <c r="D174" s="246"/>
      <c r="E174" s="591" t="s">
        <v>671</v>
      </c>
      <c r="F174" s="591" t="s">
        <v>673</v>
      </c>
      <c r="G174" s="214"/>
      <c r="H174" s="60"/>
      <c r="J174" s="54"/>
      <c r="K174" s="54"/>
      <c r="R174" s="55"/>
      <c r="S174" s="48"/>
    </row>
    <row r="175" spans="2:19" ht="40.15" customHeight="1" x14ac:dyDescent="0.25">
      <c r="B175" s="59"/>
      <c r="C175" s="451" t="s">
        <v>500</v>
      </c>
      <c r="D175" s="330" t="s">
        <v>681</v>
      </c>
      <c r="E175" s="487" t="str">
        <f>IFERROR(FACalc_micromobilidade!I134,"")</f>
        <v/>
      </c>
      <c r="F175" s="492" t="str">
        <f>IFERROR(FACalc_micromobilidade!J134,"")</f>
        <v/>
      </c>
      <c r="G175" s="213"/>
      <c r="H175" s="60"/>
      <c r="J175" s="54"/>
      <c r="K175" s="54"/>
      <c r="R175" s="55"/>
      <c r="S175" s="48"/>
    </row>
    <row r="176" spans="2:19" ht="40.15" customHeight="1" x14ac:dyDescent="0.25">
      <c r="B176" s="59"/>
      <c r="C176" s="452" t="s">
        <v>334</v>
      </c>
      <c r="D176" s="332" t="s">
        <v>681</v>
      </c>
      <c r="E176" s="518">
        <f>IFERROR(FACalc_micromobilidade!I135,"")</f>
        <v>0</v>
      </c>
      <c r="F176" s="519">
        <f>IFERROR(FACalc_micromobilidade!J135,"")</f>
        <v>0</v>
      </c>
      <c r="G176" s="213"/>
      <c r="H176" s="60"/>
      <c r="J176" s="54"/>
      <c r="K176" s="54"/>
      <c r="R176" s="55"/>
      <c r="S176" s="48"/>
    </row>
    <row r="177" spans="2:19" ht="40.15" customHeight="1" x14ac:dyDescent="0.25">
      <c r="B177" s="59"/>
      <c r="C177" s="453" t="s">
        <v>468</v>
      </c>
      <c r="D177" s="334" t="s">
        <v>681</v>
      </c>
      <c r="E177" s="490" t="str">
        <f>IFERROR(FACalc_micromobilidade!I136,"")</f>
        <v/>
      </c>
      <c r="F177" s="494" t="str">
        <f>IFERROR(FACalc_micromobilidade!J136,"")</f>
        <v/>
      </c>
      <c r="G177" s="213"/>
      <c r="H177" s="60"/>
      <c r="J177" s="208"/>
      <c r="K177" s="54"/>
      <c r="R177" s="55"/>
      <c r="S177" s="48"/>
    </row>
    <row r="178" spans="2:19" ht="40.15" customHeight="1" x14ac:dyDescent="0.25">
      <c r="B178" s="59"/>
      <c r="C178" s="395" t="s">
        <v>335</v>
      </c>
      <c r="D178" s="246"/>
      <c r="E178" s="591" t="s">
        <v>671</v>
      </c>
      <c r="F178" s="591" t="s">
        <v>673</v>
      </c>
      <c r="G178" s="214"/>
      <c r="H178" s="60"/>
      <c r="J178" s="208"/>
      <c r="K178" s="54"/>
      <c r="R178" s="55"/>
      <c r="S178" s="48"/>
    </row>
    <row r="179" spans="2:19" ht="40.15" customHeight="1" x14ac:dyDescent="0.25">
      <c r="B179" s="59"/>
      <c r="C179" s="451" t="s">
        <v>500</v>
      </c>
      <c r="D179" s="330" t="s">
        <v>681</v>
      </c>
      <c r="E179" s="487" t="str">
        <f>IFERROR(FACalc_micromobilidade!I138,"")</f>
        <v/>
      </c>
      <c r="F179" s="492" t="str">
        <f>IFERROR(FACalc_micromobilidade!J138,"")</f>
        <v/>
      </c>
      <c r="G179" s="213"/>
      <c r="H179" s="60"/>
      <c r="J179" s="208"/>
      <c r="K179" s="54"/>
      <c r="R179" s="55"/>
      <c r="S179" s="48"/>
    </row>
    <row r="180" spans="2:19" ht="40.15" customHeight="1" x14ac:dyDescent="0.25">
      <c r="B180" s="59"/>
      <c r="C180" s="452" t="s">
        <v>334</v>
      </c>
      <c r="D180" s="332" t="s">
        <v>681</v>
      </c>
      <c r="E180" s="518">
        <f>IFERROR(FACalc_micromobilidade!I139,"")</f>
        <v>0</v>
      </c>
      <c r="F180" s="519">
        <f>IFERROR(FACalc_micromobilidade!J139,"")</f>
        <v>0</v>
      </c>
      <c r="G180" s="213"/>
      <c r="H180" s="60"/>
      <c r="J180" s="208"/>
      <c r="K180" s="54"/>
      <c r="R180" s="55"/>
      <c r="S180" s="48"/>
    </row>
    <row r="181" spans="2:19" ht="40.15" customHeight="1" x14ac:dyDescent="0.25">
      <c r="B181" s="59"/>
      <c r="C181" s="453" t="s">
        <v>468</v>
      </c>
      <c r="D181" s="334" t="s">
        <v>681</v>
      </c>
      <c r="E181" s="490" t="str">
        <f>IFERROR(FACalc_micromobilidade!I140,"")</f>
        <v/>
      </c>
      <c r="F181" s="494" t="str">
        <f>IFERROR(FACalc_micromobilidade!J140,"")</f>
        <v/>
      </c>
      <c r="G181" s="213"/>
      <c r="H181" s="60"/>
      <c r="J181" s="208"/>
      <c r="K181" s="54"/>
      <c r="R181" s="55"/>
      <c r="S181" s="48"/>
    </row>
    <row r="182" spans="2:19" ht="40.15" customHeight="1" x14ac:dyDescent="0.25">
      <c r="B182" s="59"/>
      <c r="C182" s="395" t="s">
        <v>336</v>
      </c>
      <c r="D182" s="246"/>
      <c r="E182" s="591" t="s">
        <v>671</v>
      </c>
      <c r="F182" s="591" t="s">
        <v>673</v>
      </c>
      <c r="G182" s="214"/>
      <c r="H182" s="60"/>
      <c r="J182" s="54"/>
      <c r="K182" s="54"/>
      <c r="R182" s="55"/>
      <c r="S182" s="48"/>
    </row>
    <row r="183" spans="2:19" ht="40.15" customHeight="1" x14ac:dyDescent="0.25">
      <c r="B183" s="59"/>
      <c r="C183" s="451" t="s">
        <v>500</v>
      </c>
      <c r="D183" s="330" t="s">
        <v>681</v>
      </c>
      <c r="E183" s="487" t="str">
        <f>IFERROR(FACalc_micromobilidade!I142,"")</f>
        <v/>
      </c>
      <c r="F183" s="492" t="str">
        <f>IFERROR(FACalc_micromobilidade!J142,"")</f>
        <v/>
      </c>
      <c r="G183" s="213"/>
      <c r="H183" s="60"/>
      <c r="J183" s="54"/>
      <c r="K183" s="64"/>
      <c r="R183" s="54"/>
      <c r="S183" s="54"/>
    </row>
    <row r="184" spans="2:19" ht="40.15" customHeight="1" x14ac:dyDescent="0.25">
      <c r="B184" s="59"/>
      <c r="C184" s="452" t="s">
        <v>334</v>
      </c>
      <c r="D184" s="332" t="s">
        <v>681</v>
      </c>
      <c r="E184" s="518">
        <f>IFERROR(FACalc_micromobilidade!I143,"")</f>
        <v>0</v>
      </c>
      <c r="F184" s="519">
        <f>IFERROR(FACalc_micromobilidade!J143,"")</f>
        <v>0</v>
      </c>
      <c r="G184" s="213"/>
      <c r="H184" s="60"/>
      <c r="J184" s="159"/>
      <c r="K184" s="54"/>
      <c r="R184" s="54"/>
      <c r="S184" s="54"/>
    </row>
    <row r="185" spans="2:19" ht="40.15" customHeight="1" x14ac:dyDescent="0.25">
      <c r="B185" s="59"/>
      <c r="C185" s="453" t="s">
        <v>468</v>
      </c>
      <c r="D185" s="334" t="s">
        <v>681</v>
      </c>
      <c r="E185" s="490" t="str">
        <f>IFERROR(FACalc_micromobilidade!I144,"")</f>
        <v/>
      </c>
      <c r="F185" s="494" t="str">
        <f>IFERROR(FACalc_micromobilidade!J144,"")</f>
        <v/>
      </c>
      <c r="G185" s="213"/>
      <c r="H185" s="60"/>
      <c r="J185" s="54"/>
      <c r="K185" s="64"/>
      <c r="R185" s="54"/>
      <c r="S185" s="64"/>
    </row>
    <row r="186" spans="2:19" ht="46.9" customHeight="1" x14ac:dyDescent="0.25">
      <c r="B186" s="59"/>
      <c r="C186" s="596"/>
      <c r="D186" s="812"/>
      <c r="E186" s="734"/>
      <c r="F186" s="734"/>
      <c r="G186" s="88"/>
      <c r="H186" s="60"/>
      <c r="J186" s="54"/>
      <c r="K186" s="64"/>
      <c r="R186" s="54"/>
      <c r="S186" s="64"/>
    </row>
    <row r="187" spans="2:19" ht="24" x14ac:dyDescent="0.25">
      <c r="B187" s="59"/>
      <c r="C187" s="1407" t="s">
        <v>972</v>
      </c>
      <c r="D187" s="1407"/>
      <c r="E187" s="1407"/>
      <c r="F187" s="1407"/>
      <c r="G187" s="115"/>
      <c r="H187" s="60"/>
      <c r="J187" s="54"/>
      <c r="K187" s="64"/>
      <c r="R187" s="54"/>
      <c r="S187" s="64"/>
    </row>
    <row r="188" spans="2:19" ht="49.9" customHeight="1" x14ac:dyDescent="0.25">
      <c r="B188" s="59"/>
      <c r="C188" s="759"/>
      <c r="D188" s="759" t="s">
        <v>3</v>
      </c>
      <c r="E188" s="759" t="s">
        <v>320</v>
      </c>
      <c r="F188" s="759" t="s">
        <v>328</v>
      </c>
      <c r="G188" s="759" t="s">
        <v>337</v>
      </c>
      <c r="H188" s="60"/>
      <c r="J188" s="54"/>
      <c r="K188" s="64"/>
      <c r="R188" s="54"/>
      <c r="S188" s="64"/>
    </row>
    <row r="189" spans="2:19" ht="40.15" customHeight="1" x14ac:dyDescent="0.25">
      <c r="B189" s="59"/>
      <c r="C189" s="804" t="s">
        <v>672</v>
      </c>
      <c r="D189" s="805" t="s">
        <v>889</v>
      </c>
      <c r="E189" s="815" t="str">
        <f>IFERROR((E172/$F$21),"")</f>
        <v/>
      </c>
      <c r="F189" s="815" t="str">
        <f>IFERROR((E176/$F$21),"")</f>
        <v/>
      </c>
      <c r="G189" s="816" t="str">
        <f>IFERROR((E180/$F$21),"")</f>
        <v/>
      </c>
      <c r="H189" s="60"/>
      <c r="J189" s="54"/>
      <c r="K189" s="54"/>
      <c r="R189" s="54"/>
      <c r="S189" s="54"/>
    </row>
    <row r="190" spans="2:19" ht="57.6" customHeight="1" x14ac:dyDescent="0.25">
      <c r="B190" s="59"/>
      <c r="C190" s="1248" t="s">
        <v>1322</v>
      </c>
      <c r="D190" s="805" t="s">
        <v>679</v>
      </c>
      <c r="E190" s="806">
        <f>IFERROR(E172,"")</f>
        <v>0</v>
      </c>
      <c r="F190" s="806">
        <f>IFERROR(E176,"")</f>
        <v>0</v>
      </c>
      <c r="G190" s="807">
        <f>IFERROR(E180,"")</f>
        <v>0</v>
      </c>
      <c r="H190" s="60"/>
      <c r="J190" s="54"/>
      <c r="K190" s="64"/>
      <c r="R190" s="54"/>
      <c r="S190" s="54"/>
    </row>
    <row r="191" spans="2:19" ht="57.6" customHeight="1" x14ac:dyDescent="0.25">
      <c r="B191" s="59"/>
      <c r="C191" s="1248" t="s">
        <v>1339</v>
      </c>
      <c r="D191" s="805" t="s">
        <v>887</v>
      </c>
      <c r="E191" s="806" t="str">
        <f>IFERROR(E190/(E46*E47),"")</f>
        <v/>
      </c>
      <c r="F191" s="806" t="str">
        <f>IFERROR((F190/(E49*E50)),"")</f>
        <v/>
      </c>
      <c r="G191" s="807" t="str">
        <f>IFERROR((G190/(E52*E53)),"")</f>
        <v/>
      </c>
      <c r="H191" s="60"/>
      <c r="J191" s="814"/>
      <c r="K191" s="64"/>
      <c r="R191" s="54"/>
      <c r="S191" s="54"/>
    </row>
    <row r="192" spans="2:19" ht="51.6" customHeight="1" x14ac:dyDescent="0.25">
      <c r="B192" s="59"/>
      <c r="C192" s="1234" t="s">
        <v>1301</v>
      </c>
      <c r="D192" s="808" t="s">
        <v>780</v>
      </c>
      <c r="E192" s="806" t="str">
        <f>IFERROR(E190/(E47*E46),"")</f>
        <v/>
      </c>
      <c r="F192" s="806" t="str">
        <f>IFERROR(F190/(E49*E50),"")</f>
        <v/>
      </c>
      <c r="G192" s="807" t="str">
        <f>IFERROR((G190/(E52*E53)),"")</f>
        <v/>
      </c>
      <c r="H192" s="60"/>
      <c r="J192" s="54"/>
      <c r="K192" s="54"/>
      <c r="R192" s="54"/>
      <c r="S192" s="54"/>
    </row>
    <row r="193" spans="2:11" ht="17.45" customHeight="1" x14ac:dyDescent="0.25">
      <c r="B193" s="61"/>
      <c r="C193" s="75"/>
      <c r="D193" s="76"/>
      <c r="E193" s="76"/>
      <c r="F193" s="76"/>
      <c r="G193" s="76"/>
      <c r="H193" s="70"/>
      <c r="I193" s="54"/>
      <c r="J193" s="54"/>
      <c r="K193" s="54"/>
    </row>
    <row r="196" spans="2:11" ht="15.75" x14ac:dyDescent="0.25">
      <c r="C196" s="87"/>
      <c r="D196" s="54"/>
      <c r="E196" s="133"/>
      <c r="F196" s="133"/>
      <c r="G196" s="133"/>
    </row>
  </sheetData>
  <sheetProtection algorithmName="SHA-512" hashValue="KkhEGZn5x7J0s5SXL2AJBsCovMxFj0yKDFw5K1m0fA7yO/Who7slT592ix9kRu6/MgYqZ8IttKahi8qHETKr+Q==" saltValue="s6p1UhB9fzDUuD/eULKgnw==" spinCount="100000" sheet="1" selectLockedCells="1"/>
  <mergeCells count="100">
    <mergeCell ref="D37:G37"/>
    <mergeCell ref="C165:F165"/>
    <mergeCell ref="C75:F75"/>
    <mergeCell ref="C126:F126"/>
    <mergeCell ref="C128:F128"/>
    <mergeCell ref="C134:F134"/>
    <mergeCell ref="C140:F140"/>
    <mergeCell ref="C143:F143"/>
    <mergeCell ref="C42:D42"/>
    <mergeCell ref="F42:G42"/>
    <mergeCell ref="F43:G43"/>
    <mergeCell ref="F44:G44"/>
    <mergeCell ref="E73:G73"/>
    <mergeCell ref="C65:F65"/>
    <mergeCell ref="C73:D73"/>
    <mergeCell ref="F47:G47"/>
    <mergeCell ref="D10:G10"/>
    <mergeCell ref="D11:G11"/>
    <mergeCell ref="D12:G12"/>
    <mergeCell ref="D13:G13"/>
    <mergeCell ref="C14:C18"/>
    <mergeCell ref="D14:G14"/>
    <mergeCell ref="D15:G15"/>
    <mergeCell ref="D16:G16"/>
    <mergeCell ref="D17:G17"/>
    <mergeCell ref="D18:G18"/>
    <mergeCell ref="D34:G34"/>
    <mergeCell ref="D35:G35"/>
    <mergeCell ref="O21:R21"/>
    <mergeCell ref="O23:O24"/>
    <mergeCell ref="P23:P24"/>
    <mergeCell ref="Q23:Q24"/>
    <mergeCell ref="R23:R24"/>
    <mergeCell ref="K5:L5"/>
    <mergeCell ref="J6:L9"/>
    <mergeCell ref="C32:G32"/>
    <mergeCell ref="D33:G33"/>
    <mergeCell ref="C131:F131"/>
    <mergeCell ref="J25:K26"/>
    <mergeCell ref="L25:L26"/>
    <mergeCell ref="J27:K27"/>
    <mergeCell ref="C37:C38"/>
    <mergeCell ref="E38:G38"/>
    <mergeCell ref="F40:G40"/>
    <mergeCell ref="F41:G41"/>
    <mergeCell ref="D36:G36"/>
    <mergeCell ref="C33:C36"/>
    <mergeCell ref="F45:G45"/>
    <mergeCell ref="F46:G46"/>
    <mergeCell ref="F49:G49"/>
    <mergeCell ref="F50:G50"/>
    <mergeCell ref="F48:G48"/>
    <mergeCell ref="F51:G51"/>
    <mergeCell ref="F52:G52"/>
    <mergeCell ref="F53:G53"/>
    <mergeCell ref="F54:G54"/>
    <mergeCell ref="F55:G55"/>
    <mergeCell ref="F86:G86"/>
    <mergeCell ref="F82:G82"/>
    <mergeCell ref="C67:G67"/>
    <mergeCell ref="D68:G68"/>
    <mergeCell ref="D69:G69"/>
    <mergeCell ref="D70:G70"/>
    <mergeCell ref="D71:F71"/>
    <mergeCell ref="C77:G77"/>
    <mergeCell ref="D79:G79"/>
    <mergeCell ref="D80:G80"/>
    <mergeCell ref="F84:G84"/>
    <mergeCell ref="F85:G85"/>
    <mergeCell ref="E76:G76"/>
    <mergeCell ref="F93:G93"/>
    <mergeCell ref="F94:G94"/>
    <mergeCell ref="F95:G95"/>
    <mergeCell ref="F96:G96"/>
    <mergeCell ref="F87:G87"/>
    <mergeCell ref="F88:G88"/>
    <mergeCell ref="F89:G89"/>
    <mergeCell ref="F91:G91"/>
    <mergeCell ref="F92:G92"/>
    <mergeCell ref="F98:G98"/>
    <mergeCell ref="F99:G99"/>
    <mergeCell ref="F100:G100"/>
    <mergeCell ref="F101:G101"/>
    <mergeCell ref="F102:G102"/>
    <mergeCell ref="C187:F187"/>
    <mergeCell ref="F114:G114"/>
    <mergeCell ref="D78:G78"/>
    <mergeCell ref="C155:F155"/>
    <mergeCell ref="K20:L20"/>
    <mergeCell ref="J21:L23"/>
    <mergeCell ref="F109:G109"/>
    <mergeCell ref="F110:G110"/>
    <mergeCell ref="F111:G111"/>
    <mergeCell ref="F112:G112"/>
    <mergeCell ref="F113:G113"/>
    <mergeCell ref="F103:G103"/>
    <mergeCell ref="F105:G105"/>
    <mergeCell ref="F106:G106"/>
    <mergeCell ref="F107:G107"/>
    <mergeCell ref="F108:G108"/>
  </mergeCells>
  <dataValidations count="3">
    <dataValidation errorStyle="warning" allowBlank="1" showInputMessage="1" showErrorMessage="1" error="Não Introduzir valor" sqref="F27:F28 F22:F25 E46:E47 E49:E50 E41 E43:E44 E52:E55" xr:uid="{675C4572-5DE4-4CF9-9295-C2238117F1A7}"/>
    <dataValidation type="list" allowBlank="1" showInputMessage="1" showErrorMessage="1" sqref="K5:L5" xr:uid="{99DA7662-898C-4964-BB55-ACC5D0A9E371}">
      <formula1>$T$4:$T$6</formula1>
    </dataValidation>
    <dataValidation type="list" allowBlank="1" showInputMessage="1" showErrorMessage="1" sqref="K20:L20" xr:uid="{13CD5121-E12B-457C-8289-9ECC618843F1}">
      <formula1>$T$21:$T$22</formula1>
    </dataValidation>
  </dataValidations>
  <hyperlinks>
    <hyperlink ref="E38:G38" r:id="rId1" display="Mobilidade e funcionalidade do território nas Áreas Metropolitanas do Porto e de Lisboa : 2017" xr:uid="{C0FD5B8A-5777-4803-A858-8B8A9BA0A2D4}"/>
    <hyperlink ref="G71" r:id="rId2" display="Teixeira, J. et al. (2023) " xr:uid="{38D62505-7E5E-4044-B455-B272639723C4}"/>
    <hyperlink ref="G158" location="'TM3_ferrovia e metro'!F20" display="'TM3_ferrovia e metro'!F20" xr:uid="{0E47A94C-00D9-4E9F-963D-A8149F30DD84}"/>
  </hyperlinks>
  <pageMargins left="0.7" right="0.7" top="0.75" bottom="0.75" header="0.3" footer="0.3"/>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8" id="{FB5FB1A3-97FB-417D-91DA-F80B9B5B9815}">
            <xm:f>FACalc_rodovia!$C$11=FAListas!#REF!</xm:f>
            <x14:dxf>
              <fill>
                <patternFill>
                  <bgColor theme="1"/>
                </patternFill>
              </fill>
            </x14:dxf>
          </x14:cfRule>
          <xm:sqref>C161:C162</xm:sqref>
        </x14:conditionalFormatting>
        <x14:conditionalFormatting xmlns:xm="http://schemas.microsoft.com/office/excel/2006/main">
          <x14:cfRule type="expression" priority="4" id="{42EF87D6-1650-4B12-8544-78ABBD8D0563}">
            <xm:f>$E$73=FAListas!$C$58</xm:f>
            <x14:dxf>
              <font>
                <strike val="0"/>
                <color theme="1"/>
              </font>
              <fill>
                <patternFill>
                  <bgColor theme="1"/>
                </patternFill>
              </fill>
              <border>
                <left/>
                <right/>
                <top/>
                <bottom/>
              </border>
            </x14:dxf>
          </x14:cfRule>
          <x14:cfRule type="expression" priority="5" id="{1DF5361D-BA83-4FAC-B0EC-25C9389B8AFF}">
            <xm:f>$E$73=FAListas!$C$60</xm:f>
            <x14:dxf>
              <font>
                <strike val="0"/>
                <color theme="1"/>
              </font>
              <fill>
                <patternFill>
                  <bgColor theme="1"/>
                </patternFill>
              </fill>
              <border>
                <left/>
                <right/>
                <top/>
                <bottom/>
              </border>
            </x14:dxf>
          </x14:cfRule>
          <xm:sqref>C76:E76 C75:G75 C77:G114</xm:sqref>
        </x14:conditionalFormatting>
        <x14:conditionalFormatting xmlns:xm="http://schemas.microsoft.com/office/excel/2006/main">
          <x14:cfRule type="expression" priority="22" id="{015D03A2-B1B6-44C0-B363-F15E2C1C11E8}">
            <xm:f>FACalc_rodovia!$C$11=FAListas!#REF!</xm:f>
            <x14:dxf>
              <fill>
                <patternFill>
                  <bgColor theme="1"/>
                </patternFill>
              </fill>
            </x14:dxf>
          </x14:cfRule>
          <xm:sqref>C156:F156</xm:sqref>
        </x14:conditionalFormatting>
        <x14:conditionalFormatting xmlns:xm="http://schemas.microsoft.com/office/excel/2006/main">
          <x14:cfRule type="expression" priority="763" id="{C75B0344-E878-461E-9807-0273F1B5324F}">
            <xm:f>FACalc_micromobilidade!$C$14=FAListas!#REF!</xm:f>
            <x14:dxf>
              <fill>
                <patternFill patternType="solid">
                  <fgColor rgb="FFFF0000"/>
                  <bgColor theme="1"/>
                </patternFill>
              </fill>
            </x14:dxf>
          </x14:cfRule>
          <xm:sqref>E41 E43:E44 E46:E47 E49:E50 E52:E55</xm:sqref>
        </x14:conditionalFormatting>
        <x14:conditionalFormatting xmlns:xm="http://schemas.microsoft.com/office/excel/2006/main">
          <x14:cfRule type="expression" priority="764" id="{24CFFF80-FB80-4540-BEE0-D170C1A831CB}">
            <xm:f>#REF!=FAListas!#REF!</xm:f>
            <x14:dxf>
              <fill>
                <patternFill patternType="solid">
                  <fgColor rgb="FFFF0000"/>
                  <bgColor theme="1"/>
                </patternFill>
              </fill>
            </x14:dxf>
          </x14:cfRule>
          <xm:sqref>E43:E44 E46:E47 E49:E50 E52:E55</xm:sqref>
        </x14:conditionalFormatting>
        <x14:conditionalFormatting xmlns:xm="http://schemas.microsoft.com/office/excel/2006/main">
          <x14:cfRule type="expression" priority="3" id="{84BF561E-61CE-488C-BF2C-EAD1A952D46E}">
            <xm:f>$E$73=FAListas!$C$60</xm:f>
            <x14:dxf>
              <font>
                <strike val="0"/>
                <color rgb="FFFFC000"/>
              </font>
              <fill>
                <patternFill>
                  <bgColor theme="1"/>
                </patternFill>
              </fill>
              <border>
                <left/>
                <right/>
                <top/>
                <bottom/>
              </border>
            </x14:dxf>
          </x14:cfRule>
          <xm:sqref>E76</xm:sqref>
        </x14:conditionalFormatting>
        <x14:conditionalFormatting xmlns:xm="http://schemas.microsoft.com/office/excel/2006/main">
          <x14:cfRule type="expression" priority="778" id="{2BB24BE4-F275-48C5-808F-B5B0E42F8CB4}">
            <xm:f>IF(#REF!=FAListas!$C$6,TRUE, IF(#REF!=FAListas!#REF!, TRUE,""))</xm:f>
            <x14:dxf>
              <fill>
                <patternFill>
                  <bgColor theme="1"/>
                </patternFill>
              </fill>
            </x14:dxf>
          </x14:cfRule>
          <xm:sqref>E157:F157 E167:F167 E171:F171 E175:F175 E179:F179 E183:F183</xm:sqref>
        </x14:conditionalFormatting>
        <x14:conditionalFormatting xmlns:xm="http://schemas.microsoft.com/office/excel/2006/main">
          <x14:cfRule type="expression" priority="779" id="{2D30F6C5-4673-4217-B5EA-FBAE54B11FCE}">
            <xm:f>#REF!=FAListas!#REF!</xm:f>
            <x14:dxf>
              <fill>
                <patternFill>
                  <bgColor theme="1"/>
                </patternFill>
              </fill>
            </x14:dxf>
          </x14:cfRule>
          <xm:sqref>E158:F163</xm:sqref>
        </x14:conditionalFormatting>
        <x14:conditionalFormatting xmlns:xm="http://schemas.microsoft.com/office/excel/2006/main">
          <x14:cfRule type="expression" priority="19" id="{5C0CA112-6447-4C99-A650-2DD4B73AE478}">
            <xm:f>IF(#REF!=FAListas!$C$6,TRUE, IF(#REF!=FAListas!#REF!, TRUE,""))</xm:f>
            <x14:dxf>
              <fill>
                <patternFill>
                  <bgColor theme="1"/>
                </patternFill>
              </fill>
            </x14:dxf>
          </x14:cfRule>
          <xm:sqref>E160:F160</xm:sqref>
        </x14:conditionalFormatting>
        <x14:conditionalFormatting xmlns:xm="http://schemas.microsoft.com/office/excel/2006/main">
          <x14:cfRule type="expression" priority="29" id="{3CA4AC3A-10AE-4C43-9EA3-0798B6A078DF}">
            <xm:f>$E$23=FAListas!$C$57</xm:f>
            <x14:dxf>
              <font>
                <color theme="1"/>
              </font>
              <fill>
                <patternFill patternType="solid">
                  <fgColor rgb="FFFF0000"/>
                  <bgColor theme="1"/>
                </patternFill>
              </fill>
            </x14:dxf>
          </x14:cfRule>
          <xm:sqref>F22:G22</xm:sqref>
        </x14:conditionalFormatting>
        <x14:conditionalFormatting xmlns:xm="http://schemas.microsoft.com/office/excel/2006/main">
          <x14:cfRule type="expression" priority="33" id="{EB8806FE-F1A8-46FB-8B21-5C07AB4C1B30}">
            <xm:f>$E$23=FAListas!$C$57</xm:f>
            <x14:dxf>
              <fill>
                <patternFill>
                  <bgColor theme="1"/>
                </patternFill>
              </fill>
            </x14:dxf>
          </x14:cfRule>
          <xm:sqref>F23:G23</xm:sqref>
        </x14:conditionalFormatting>
        <x14:conditionalFormatting xmlns:xm="http://schemas.microsoft.com/office/excel/2006/main">
          <x14:cfRule type="expression" priority="17" id="{4D72B402-E47A-418C-A375-246C0ECBF0C1}">
            <xm:f>$E$25=FAListas!$C$57</xm:f>
            <x14:dxf>
              <font>
                <color theme="1"/>
              </font>
              <fill>
                <patternFill patternType="solid">
                  <fgColor rgb="FFFF0000"/>
                  <bgColor theme="1"/>
                </patternFill>
              </fill>
            </x14:dxf>
          </x14:cfRule>
          <xm:sqref>F24:G24</xm:sqref>
        </x14:conditionalFormatting>
        <x14:conditionalFormatting xmlns:xm="http://schemas.microsoft.com/office/excel/2006/main">
          <x14:cfRule type="expression" priority="139" id="{1DFD838A-65EF-4304-AB7E-E75929082C5E}">
            <xm:f>$E$25=FAListas!$C$57</xm:f>
            <x14:dxf>
              <fill>
                <patternFill patternType="solid">
                  <fgColor theme="0"/>
                  <bgColor theme="1"/>
                </patternFill>
              </fill>
            </x14:dxf>
          </x14:cfRule>
          <xm:sqref>F25:G25</xm:sqref>
        </x14:conditionalFormatting>
        <x14:conditionalFormatting xmlns:xm="http://schemas.microsoft.com/office/excel/2006/main">
          <x14:cfRule type="expression" priority="1" id="{BFC77F16-C4EA-46F5-9781-D57D83268AA8}">
            <xm:f>AND($E$27=FAListas!$C$57,$E$28=FAListas!$C$57)</xm:f>
            <x14:dxf>
              <font>
                <color theme="1"/>
              </font>
              <fill>
                <patternFill>
                  <bgColor theme="1"/>
                </patternFill>
              </fill>
            </x14:dxf>
          </x14:cfRule>
          <xm:sqref>F26:G26</xm:sqref>
        </x14:conditionalFormatting>
        <x14:conditionalFormatting xmlns:xm="http://schemas.microsoft.com/office/excel/2006/main">
          <x14:cfRule type="expression" priority="65" id="{F757CAE2-4D86-4538-A42C-410A608C5076}">
            <xm:f>$E$27=FAListas!$C$57</xm:f>
            <x14:dxf>
              <fill>
                <patternFill>
                  <bgColor theme="1"/>
                </patternFill>
              </fill>
            </x14:dxf>
          </x14:cfRule>
          <xm:sqref>F27:G27</xm:sqref>
        </x14:conditionalFormatting>
        <x14:conditionalFormatting xmlns:xm="http://schemas.microsoft.com/office/excel/2006/main">
          <x14:cfRule type="expression" priority="138" id="{788D1787-D4EA-4707-824F-75918B63A0D5}">
            <xm:f>$E$28=FAListas!$C$57</xm:f>
            <x14:dxf>
              <fill>
                <patternFill patternType="solid">
                  <fgColor rgb="FFFF0000"/>
                  <bgColor theme="1"/>
                </patternFill>
              </fill>
            </x14:dxf>
          </x14:cfRule>
          <xm:sqref>F28:G28</xm:sqref>
        </x14:conditionalFormatting>
        <x14:conditionalFormatting xmlns:xm="http://schemas.microsoft.com/office/excel/2006/main">
          <x14:cfRule type="expression" priority="30" id="{8D45CA80-71C2-4755-8D93-B10C2F817311}">
            <xm:f>$E$25=FAListas!$C$57</xm:f>
            <x14:dxf>
              <fill>
                <patternFill>
                  <bgColor theme="1"/>
                </patternFill>
              </fill>
            </x14:dxf>
          </x14:cfRule>
          <xm:sqref>G24</xm:sqref>
        </x14:conditionalFormatting>
        <x14:conditionalFormatting xmlns:xm="http://schemas.microsoft.com/office/excel/2006/main">
          <x14:cfRule type="expression" priority="21" id="{5EB7BA60-952F-4C99-8C5D-CC161DC3CB99}">
            <xm:f>FACalc_ferrovia!$C$10=FAListas!#REF!</xm:f>
            <x14:dxf>
              <fill>
                <patternFill>
                  <bgColor theme="1"/>
                </patternFill>
              </fill>
            </x14:dxf>
          </x14:cfRule>
          <xm:sqref>G158</xm:sqref>
        </x14:conditionalFormatting>
        <x14:conditionalFormatting xmlns:xm="http://schemas.microsoft.com/office/excel/2006/main">
          <x14:cfRule type="expression" priority="20" id="{09BCD183-D115-42E2-A0FF-EB2F405D6FD3}">
            <xm:f>FACalc_ferrovia!$C$10=FAListas!#REF!</xm:f>
            <x14:dxf>
              <fill>
                <patternFill>
                  <bgColor theme="1"/>
                </patternFill>
              </fill>
            </x14:dxf>
          </x14:cfRule>
          <xm:sqref>G163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380CD7B-69DE-49BF-87DD-45C4B3ADA0B3}">
          <x14:formula1>
            <xm:f>FAListas!$C$15:$C$17</xm:f>
          </x14:formula1>
          <xm:sqref>E115</xm:sqref>
        </x14:dataValidation>
        <x14:dataValidation type="list" allowBlank="1" showInputMessage="1" showErrorMessage="1" xr:uid="{5BA814C9-C408-4F43-A56C-FA73C4B70198}">
          <x14:formula1>
            <xm:f>FAListas!$C$58:$C$60</xm:f>
          </x14:formula1>
          <xm:sqref>E73</xm:sqref>
        </x14:dataValidation>
        <x14:dataValidation type="list" allowBlank="1" showInputMessage="1" showErrorMessage="1" xr:uid="{ABD3875D-B198-4005-9F1D-F9B6FB47B4BD}">
          <x14:formula1>
            <xm:f>FAListas!$C$55:$C$57</xm:f>
          </x14:formula1>
          <xm:sqref>E23 E25 E27:E29</xm:sqref>
        </x14:dataValidation>
        <x14:dataValidation type="list" allowBlank="1" showInputMessage="1" showErrorMessage="1" xr:uid="{F884AD95-C8FF-44A2-98D4-E8E195E6CF07}">
          <x14:formula1>
            <xm:f>FAListas!$C$5:$C$14</xm:f>
          </x14:formula1>
          <xm:sqref>F56:G56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616B1-46CC-42E4-B2EC-4F00D6226992}">
  <dimension ref="A1:AE148"/>
  <sheetViews>
    <sheetView showGridLines="0" zoomScale="75" zoomScaleNormal="75" workbookViewId="0">
      <pane ySplit="6225" topLeftCell="A32"/>
      <selection activeCell="Z15" sqref="Z15"/>
      <selection pane="bottomLeft" activeCell="D12" sqref="D12"/>
    </sheetView>
  </sheetViews>
  <sheetFormatPr defaultRowHeight="15" x14ac:dyDescent="0.25"/>
  <cols>
    <col min="1" max="1" width="11.42578125" bestFit="1" customWidth="1"/>
    <col min="2" max="2" width="48" customWidth="1"/>
    <col min="3" max="3" width="16.28515625" customWidth="1"/>
    <col min="4" max="4" width="38.42578125" style="1" customWidth="1"/>
    <col min="5" max="5" width="37.7109375" style="1" customWidth="1"/>
    <col min="6" max="6" width="22.7109375" style="1" customWidth="1"/>
    <col min="7" max="7" width="48" style="1" customWidth="1"/>
    <col min="8" max="8" width="16.28515625" style="1" customWidth="1"/>
    <col min="9" max="9" width="38.42578125" style="1" customWidth="1"/>
    <col min="10" max="10" width="37.7109375" style="1" customWidth="1"/>
    <col min="11" max="12" width="17.7109375" style="1" customWidth="1"/>
    <col min="13" max="13" width="16.28515625" style="1" customWidth="1"/>
    <col min="14" max="15" width="20.7109375" style="1" customWidth="1"/>
    <col min="16" max="23" width="20.7109375" customWidth="1"/>
    <col min="24" max="24" width="51.5703125" customWidth="1"/>
    <col min="25" max="25" width="29.28515625" customWidth="1"/>
    <col min="26" max="32" width="20.7109375" customWidth="1"/>
  </cols>
  <sheetData>
    <row r="1" spans="1:31" x14ac:dyDescent="0.25">
      <c r="I1" s="104"/>
    </row>
    <row r="2" spans="1:31" x14ac:dyDescent="0.25">
      <c r="I2" s="104"/>
    </row>
    <row r="5" spans="1:31" s="121" customFormat="1" ht="12.75" x14ac:dyDescent="0.2">
      <c r="A5" s="120" t="s">
        <v>173</v>
      </c>
      <c r="D5" s="122"/>
      <c r="E5" s="122"/>
      <c r="F5" s="122"/>
      <c r="G5" s="122"/>
      <c r="H5" s="122"/>
      <c r="I5" s="122"/>
      <c r="J5" s="122"/>
      <c r="K5" s="122"/>
      <c r="L5" s="122"/>
      <c r="M5" s="122"/>
      <c r="N5" s="122"/>
      <c r="O5" s="122"/>
    </row>
    <row r="6" spans="1:31" s="123" customFormat="1" ht="12.75" x14ac:dyDescent="0.2">
      <c r="D6" s="124"/>
      <c r="E6" s="124"/>
      <c r="F6" s="124"/>
      <c r="G6" s="124"/>
      <c r="H6" s="124"/>
      <c r="I6" s="124"/>
      <c r="J6" s="124"/>
      <c r="K6" s="124"/>
      <c r="L6" s="124"/>
      <c r="M6" s="124"/>
      <c r="N6" s="124"/>
      <c r="O6" s="124"/>
    </row>
    <row r="7" spans="1:31" s="125" customFormat="1" ht="12.75" x14ac:dyDescent="0.2">
      <c r="B7" s="126" t="s">
        <v>192</v>
      </c>
      <c r="D7" s="127"/>
      <c r="E7" s="127"/>
      <c r="F7" s="127"/>
      <c r="G7" s="127"/>
      <c r="H7" s="127"/>
      <c r="I7" s="127"/>
      <c r="J7" s="127"/>
      <c r="K7" s="127"/>
      <c r="L7" s="127"/>
      <c r="M7" s="127"/>
      <c r="N7" s="127"/>
      <c r="O7" s="127"/>
    </row>
    <row r="8" spans="1:31" s="123" customFormat="1" ht="12.75" x14ac:dyDescent="0.2">
      <c r="B8" s="247"/>
      <c r="D8" s="124"/>
      <c r="E8" s="124"/>
      <c r="F8" s="124"/>
      <c r="G8" s="124"/>
      <c r="H8" s="124"/>
      <c r="I8" s="124"/>
      <c r="J8" s="124"/>
      <c r="K8" s="124"/>
      <c r="L8" s="124"/>
      <c r="M8" s="124"/>
      <c r="N8" s="124"/>
      <c r="O8" s="124"/>
      <c r="Z8" s="1488"/>
      <c r="AA8" s="1488"/>
      <c r="AB8" s="1488"/>
      <c r="AC8" s="1488"/>
      <c r="AD8" s="1488"/>
    </row>
    <row r="9" spans="1:31" s="123" customFormat="1" ht="12.75" x14ac:dyDescent="0.2">
      <c r="B9" s="247"/>
      <c r="D9" s="124"/>
      <c r="E9" s="124"/>
      <c r="F9" s="124"/>
      <c r="G9" s="124" t="s">
        <v>284</v>
      </c>
      <c r="H9" s="124"/>
      <c r="I9" s="124"/>
      <c r="J9" s="124"/>
      <c r="K9" s="124"/>
      <c r="L9" s="124"/>
      <c r="M9" s="124"/>
      <c r="N9" s="124"/>
      <c r="O9" s="124"/>
    </row>
    <row r="10" spans="1:31" s="123" customFormat="1" ht="12.75" x14ac:dyDescent="0.2">
      <c r="B10" s="247"/>
      <c r="D10" s="124"/>
      <c r="E10" s="124"/>
      <c r="F10" s="124"/>
      <c r="G10" s="124"/>
      <c r="H10" s="124"/>
      <c r="I10" s="124"/>
      <c r="J10" s="124"/>
      <c r="K10" s="124"/>
      <c r="L10" s="124"/>
      <c r="M10" s="124"/>
      <c r="N10" s="124"/>
      <c r="O10" s="124"/>
      <c r="Z10" s="123" t="str">
        <f>IFERROR('ID_Identificação do projeto'!C14+2,"")</f>
        <v/>
      </c>
    </row>
    <row r="11" spans="1:31" s="123" customFormat="1" ht="12.75" x14ac:dyDescent="0.2">
      <c r="B11" s="112" t="s">
        <v>114</v>
      </c>
      <c r="C11" s="111" t="s">
        <v>86</v>
      </c>
      <c r="D11" s="108" t="s">
        <v>126</v>
      </c>
      <c r="E11" s="124"/>
      <c r="F11" s="124"/>
      <c r="G11" s="124"/>
      <c r="H11" s="124"/>
      <c r="I11" s="124"/>
      <c r="J11" s="124"/>
      <c r="K11" s="124"/>
      <c r="L11" s="124"/>
      <c r="M11" s="124"/>
      <c r="N11" s="124"/>
      <c r="O11" s="124"/>
      <c r="Z11" s="247" t="s">
        <v>1127</v>
      </c>
    </row>
    <row r="12" spans="1:31" s="128" customFormat="1" ht="54" customHeight="1" x14ac:dyDescent="0.2">
      <c r="B12" s="107" t="s">
        <v>190</v>
      </c>
      <c r="C12" s="109" t="str">
        <f>IFERROR(D12+2,"0")</f>
        <v>0</v>
      </c>
      <c r="D12" s="110" t="str">
        <f>'ID_Identificação do projeto'!C14</f>
        <v>AAAA</v>
      </c>
      <c r="E12" s="101"/>
      <c r="F12" s="112" t="s">
        <v>114</v>
      </c>
      <c r="G12" s="108" t="s">
        <v>871</v>
      </c>
      <c r="H12" s="718"/>
      <c r="I12" s="108" t="s">
        <v>283</v>
      </c>
      <c r="J12" s="108" t="s">
        <v>872</v>
      </c>
      <c r="K12" s="251" t="s">
        <v>720</v>
      </c>
      <c r="L12" s="718"/>
      <c r="M12" s="108" t="s">
        <v>718</v>
      </c>
      <c r="N12" s="251" t="s">
        <v>886</v>
      </c>
      <c r="O12" s="151"/>
      <c r="P12" s="129"/>
      <c r="Q12" s="129"/>
      <c r="R12" s="129"/>
      <c r="S12" s="129"/>
      <c r="T12" s="129"/>
      <c r="U12" s="129" t="s">
        <v>200</v>
      </c>
      <c r="V12" s="129"/>
      <c r="W12" s="117" t="s">
        <v>20</v>
      </c>
      <c r="X12" s="117" t="s">
        <v>201</v>
      </c>
      <c r="Y12" s="117" t="s">
        <v>251</v>
      </c>
      <c r="Z12" s="117" t="s">
        <v>251</v>
      </c>
      <c r="AA12" s="117"/>
      <c r="AB12" s="117"/>
      <c r="AC12" s="117"/>
      <c r="AD12" s="117"/>
      <c r="AE12" s="478"/>
    </row>
    <row r="13" spans="1:31" s="128" customFormat="1" ht="42" customHeight="1" x14ac:dyDescent="0.2">
      <c r="B13" s="107" t="s">
        <v>293</v>
      </c>
      <c r="C13" s="109" t="str">
        <f>'ID_Identificação do projeto'!$C$16</f>
        <v>Selecionar uma opção</v>
      </c>
      <c r="D13" s="110"/>
      <c r="E13" s="101"/>
      <c r="F13" s="170" t="s">
        <v>186</v>
      </c>
      <c r="G13" s="110">
        <f>IFERROR(C22*C23,"")</f>
        <v>0</v>
      </c>
      <c r="H13" s="723"/>
      <c r="I13" s="516"/>
      <c r="J13" s="515"/>
      <c r="K13" s="110">
        <v>0</v>
      </c>
      <c r="L13" s="719"/>
      <c r="M13" s="119">
        <f>'Fatores de Emissão'!C54</f>
        <v>2.3E-2</v>
      </c>
      <c r="N13" s="165">
        <f t="shared" ref="N13:N18" si="0">IFERROR(K13+((G13*M13)/1000),"")</f>
        <v>0</v>
      </c>
      <c r="O13" s="722"/>
      <c r="P13" s="129"/>
      <c r="Q13" s="129"/>
      <c r="R13" s="129"/>
      <c r="S13" s="129"/>
      <c r="T13" s="129"/>
      <c r="U13" s="129"/>
      <c r="V13" s="129"/>
      <c r="W13" s="118">
        <v>2025</v>
      </c>
      <c r="X13" s="140">
        <v>165</v>
      </c>
      <c r="Y13" s="106" t="e">
        <f>VLOOKUP(C12,$W$13:$X$29,2,FALSE)</f>
        <v>#N/A</v>
      </c>
      <c r="Z13" s="106" t="e">
        <f>VLOOKUP(Z10,$W$13:$X$29,2,FALSE)</f>
        <v>#N/A</v>
      </c>
      <c r="AA13" s="106"/>
      <c r="AB13" s="106"/>
      <c r="AC13" s="106"/>
      <c r="AD13" s="106"/>
    </row>
    <row r="14" spans="1:31" s="128" customFormat="1" ht="40.15" customHeight="1" x14ac:dyDescent="0.2">
      <c r="B14" s="259" t="s">
        <v>142</v>
      </c>
      <c r="C14" s="102" t="str">
        <f>'ID_Identificação do projeto'!$C$18</f>
        <v>Selecionar uma opção</v>
      </c>
      <c r="E14" s="101"/>
      <c r="F14" s="170" t="s">
        <v>187</v>
      </c>
      <c r="G14" s="110">
        <f>IFERROR(C24*C25,"")</f>
        <v>0</v>
      </c>
      <c r="H14" s="723"/>
      <c r="I14" s="516" t="str">
        <f>IFERROR(IF(D16=FAListas!$C$56, C16,"0"),"")</f>
        <v>0</v>
      </c>
      <c r="J14" s="515" t="str">
        <f>IFERROR(IF(D16=FAListas!C57,$C$15*'Fatores de Emissão'!F14,"0"),"")</f>
        <v>0</v>
      </c>
      <c r="K14" s="132">
        <f>IFERROR(((G14*I14)+(G14*J14))/1000,"")</f>
        <v>0</v>
      </c>
      <c r="L14" s="720"/>
      <c r="M14" s="119">
        <f>'Fatores de Emissão'!G14</f>
        <v>3.6999999999999998E-2</v>
      </c>
      <c r="N14" s="165">
        <f t="shared" si="0"/>
        <v>0</v>
      </c>
      <c r="O14" s="721"/>
      <c r="P14" s="129"/>
      <c r="Q14" s="129"/>
      <c r="R14" s="129"/>
      <c r="S14" s="129"/>
      <c r="T14" s="129"/>
      <c r="U14" s="129"/>
      <c r="V14" s="129"/>
      <c r="W14" s="118">
        <v>2026</v>
      </c>
      <c r="X14" s="140">
        <v>182</v>
      </c>
    </row>
    <row r="15" spans="1:31" s="128" customFormat="1" ht="40.15" customHeight="1" x14ac:dyDescent="0.2">
      <c r="B15" s="107" t="s">
        <v>203</v>
      </c>
      <c r="C15" s="109">
        <f>'TM1_micromobilidade '!F21</f>
        <v>0</v>
      </c>
      <c r="D15" s="110">
        <v>0</v>
      </c>
      <c r="E15" s="101"/>
      <c r="F15" s="170" t="s">
        <v>188</v>
      </c>
      <c r="G15" s="110">
        <f>IFERROR(C26*C27,"")</f>
        <v>0</v>
      </c>
      <c r="H15" s="723"/>
      <c r="I15" s="516" t="str">
        <f>IFERROR(IF(D17=FAListas!$C$56, C17,"0"),"")</f>
        <v>0</v>
      </c>
      <c r="J15" s="515" t="str">
        <f>IFERROR(IF(D17=FAListas!C57,$C$15*'Fatores de Emissão'!F13,"0"),"")</f>
        <v>0</v>
      </c>
      <c r="K15" s="132">
        <f>IFERROR(((G15*I15)+(G15*J15))/1000,"")</f>
        <v>0</v>
      </c>
      <c r="L15" s="720"/>
      <c r="M15" s="119">
        <f>'Fatores de Emissão'!G13</f>
        <v>0.01</v>
      </c>
      <c r="N15" s="165">
        <f t="shared" si="0"/>
        <v>0</v>
      </c>
      <c r="O15" s="721"/>
      <c r="P15" s="129"/>
      <c r="Q15" s="129"/>
      <c r="R15" s="129"/>
      <c r="S15" s="129"/>
      <c r="T15" s="129"/>
      <c r="U15" s="129"/>
      <c r="V15" s="129"/>
      <c r="W15" s="118">
        <v>2027</v>
      </c>
      <c r="X15" s="140">
        <v>199</v>
      </c>
    </row>
    <row r="16" spans="1:31" s="128" customFormat="1" ht="40.15" customHeight="1" x14ac:dyDescent="0.2">
      <c r="B16" s="107" t="s">
        <v>289</v>
      </c>
      <c r="C16" s="109">
        <f>IF(D16=FAListas!C57,0,'TM1_micromobilidade '!F23)</f>
        <v>0</v>
      </c>
      <c r="D16" s="110" t="str">
        <f>'TM1_micromobilidade '!E23</f>
        <v>Selecionar uma opção</v>
      </c>
      <c r="E16" s="101"/>
      <c r="F16" s="170" t="s">
        <v>298</v>
      </c>
      <c r="G16" s="110">
        <f>IFERROR(C28*C29,"")</f>
        <v>0</v>
      </c>
      <c r="H16" s="723"/>
      <c r="I16" s="516" t="str">
        <f>IFERROR(IF(D18=FAListas!$C$56, C18,"0"),"")</f>
        <v>0</v>
      </c>
      <c r="J16" s="515" t="str">
        <f>IFERROR(IF(D18=FAListas!C57,$C$15*'Fatores de Emissão'!F11,"0"),"")</f>
        <v>0</v>
      </c>
      <c r="K16" s="132">
        <f>IFERROR(((G16*I16)+(G16*J16))/1000,"")</f>
        <v>0</v>
      </c>
      <c r="L16" s="721"/>
      <c r="M16" s="119">
        <f>'Fatores de Emissão'!G11</f>
        <v>0.94353999999999993</v>
      </c>
      <c r="N16" s="165">
        <f t="shared" si="0"/>
        <v>0</v>
      </c>
      <c r="O16" s="722"/>
      <c r="P16" s="129"/>
      <c r="Q16" s="129"/>
      <c r="R16" s="129"/>
      <c r="S16" s="129"/>
      <c r="T16" s="129"/>
      <c r="U16" s="129"/>
      <c r="V16" s="129"/>
      <c r="W16" s="118">
        <v>2028</v>
      </c>
      <c r="X16" s="140">
        <v>216</v>
      </c>
    </row>
    <row r="17" spans="1:24" s="128" customFormat="1" ht="40.15" customHeight="1" x14ac:dyDescent="0.2">
      <c r="B17" s="107" t="s">
        <v>290</v>
      </c>
      <c r="C17" s="109">
        <f>IF($D$17=FAListas!C57,0,'TM1_micromobilidade '!F25)</f>
        <v>0</v>
      </c>
      <c r="D17" s="110" t="str">
        <f>'TM1_micromobilidade '!E25</f>
        <v>Selecionar uma opção</v>
      </c>
      <c r="E17" s="101"/>
      <c r="F17" s="170" t="s">
        <v>299</v>
      </c>
      <c r="G17" s="110">
        <f>IFERROR(C30*C31,"")</f>
        <v>0</v>
      </c>
      <c r="H17" s="723"/>
      <c r="I17" s="516" t="str">
        <f>IFERROR(IF(D19=FAListas!$C$56, C19,"0"),"")</f>
        <v>0</v>
      </c>
      <c r="J17" s="515" t="str">
        <f>IFERROR(IF(D19=FAListas!C57,$C$15*'Fatores de Emissão'!F12,"0"),"")</f>
        <v>0</v>
      </c>
      <c r="K17" s="132">
        <f>IFERROR(((G17*I17)+(G17*J17))/1000,"")</f>
        <v>0</v>
      </c>
      <c r="L17" s="721"/>
      <c r="M17" s="119">
        <f>'Fatores de Emissão'!G12</f>
        <v>2.5999999999999999E-2</v>
      </c>
      <c r="N17" s="165">
        <f t="shared" si="0"/>
        <v>0</v>
      </c>
      <c r="O17" s="722"/>
      <c r="R17" s="129"/>
      <c r="S17" s="129"/>
      <c r="T17" s="129"/>
      <c r="U17" s="129"/>
      <c r="V17" s="129"/>
      <c r="W17" s="118">
        <v>2029</v>
      </c>
      <c r="X17" s="140">
        <v>233</v>
      </c>
    </row>
    <row r="18" spans="1:24" s="128" customFormat="1" ht="40.15" customHeight="1" x14ac:dyDescent="0.2">
      <c r="B18" s="107" t="s">
        <v>501</v>
      </c>
      <c r="C18" s="109">
        <f>IF(D18=FAListas!C57,0,'TM1_micromobilidade '!F27)</f>
        <v>0</v>
      </c>
      <c r="D18" s="110" t="str">
        <f>'TM1_micromobilidade '!E27</f>
        <v>Selecionar uma opção</v>
      </c>
      <c r="E18" s="101"/>
      <c r="F18" s="113" t="s">
        <v>189</v>
      </c>
      <c r="G18" s="114">
        <f>IFERROR(C21,"")</f>
        <v>0</v>
      </c>
      <c r="H18" s="724"/>
      <c r="I18" s="516">
        <f>IFERROR(C15,"")</f>
        <v>0</v>
      </c>
      <c r="J18" s="515"/>
      <c r="K18" s="132">
        <f>IFERROR((G18*$I$18)/1000,"")</f>
        <v>0</v>
      </c>
      <c r="L18" s="721"/>
      <c r="M18" s="119">
        <v>0</v>
      </c>
      <c r="N18" s="165">
        <f t="shared" si="0"/>
        <v>0</v>
      </c>
      <c r="O18" s="722"/>
      <c r="P18" s="129"/>
      <c r="Q18" s="129"/>
      <c r="R18" s="129"/>
      <c r="S18" s="129"/>
      <c r="T18" s="129"/>
      <c r="U18" s="129"/>
      <c r="V18" s="129"/>
      <c r="W18" s="118">
        <v>2030</v>
      </c>
      <c r="X18" s="140">
        <v>250</v>
      </c>
    </row>
    <row r="19" spans="1:24" s="128" customFormat="1" ht="40.15" customHeight="1" x14ac:dyDescent="0.2">
      <c r="B19" s="107" t="s">
        <v>502</v>
      </c>
      <c r="C19" s="109">
        <f>IF(D18=FAListas!C57,0,'TM1_micromobilidade '!F28)</f>
        <v>0</v>
      </c>
      <c r="D19" s="110" t="str">
        <f>'TM1_micromobilidade '!E28</f>
        <v>Selecionar uma opção</v>
      </c>
      <c r="E19" s="101"/>
      <c r="F19" s="160"/>
      <c r="G19" s="102"/>
      <c r="H19" s="102"/>
      <c r="I19" s="162"/>
      <c r="J19" s="162"/>
      <c r="K19" s="162"/>
      <c r="L19" s="162"/>
      <c r="M19" s="163"/>
      <c r="N19" s="347"/>
      <c r="O19" s="347"/>
      <c r="P19" s="129"/>
      <c r="Q19" s="129"/>
      <c r="R19" s="129"/>
      <c r="S19" s="129"/>
      <c r="T19" s="129"/>
      <c r="U19" s="129"/>
      <c r="V19" s="129"/>
      <c r="W19" s="118">
        <v>2031</v>
      </c>
      <c r="X19" s="140">
        <v>278</v>
      </c>
    </row>
    <row r="20" spans="1:24" s="128" customFormat="1" ht="40.15" customHeight="1" x14ac:dyDescent="0.2">
      <c r="B20" s="112" t="s">
        <v>114</v>
      </c>
      <c r="C20" s="111" t="s">
        <v>873</v>
      </c>
      <c r="D20" s="108"/>
      <c r="E20" s="101"/>
      <c r="F20" s="160"/>
      <c r="G20" s="102"/>
      <c r="H20" s="102"/>
      <c r="I20" s="161"/>
      <c r="J20" s="168" t="s">
        <v>246</v>
      </c>
      <c r="K20" s="261">
        <f>SUM(K13:K18)</f>
        <v>0</v>
      </c>
      <c r="L20" s="261"/>
      <c r="M20" s="262"/>
      <c r="N20" s="261">
        <f>SUM(N13:N18)</f>
        <v>0</v>
      </c>
      <c r="O20" s="261"/>
      <c r="P20" s="166" t="s">
        <v>249</v>
      </c>
      <c r="Q20" s="129"/>
      <c r="R20" s="129"/>
      <c r="S20" s="129"/>
      <c r="T20" s="129"/>
      <c r="U20" s="129"/>
      <c r="V20" s="129"/>
      <c r="W20" s="118">
        <v>2032</v>
      </c>
      <c r="X20" s="140">
        <v>306</v>
      </c>
    </row>
    <row r="21" spans="1:24" s="128" customFormat="1" ht="40.15" customHeight="1" x14ac:dyDescent="0.2">
      <c r="B21" s="169" t="s">
        <v>179</v>
      </c>
      <c r="C21" s="109">
        <f>IFERROR('TM1_micromobilidade '!E41,"")</f>
        <v>0</v>
      </c>
      <c r="D21" s="110"/>
      <c r="E21" s="101"/>
      <c r="F21" s="160"/>
      <c r="G21" s="102"/>
      <c r="H21" s="102"/>
      <c r="I21" s="161"/>
      <c r="J21" s="162"/>
      <c r="K21" s="162"/>
      <c r="L21" s="162"/>
      <c r="M21" s="163"/>
      <c r="N21" s="162"/>
      <c r="O21" s="106"/>
      <c r="P21" s="129"/>
      <c r="Q21" s="129"/>
      <c r="R21" s="129"/>
      <c r="S21" s="129"/>
      <c r="T21" s="129"/>
      <c r="U21" s="129"/>
      <c r="V21" s="129"/>
      <c r="W21" s="118">
        <v>2033</v>
      </c>
      <c r="X21" s="140">
        <v>334</v>
      </c>
    </row>
    <row r="22" spans="1:24" s="128" customFormat="1" ht="40.15" customHeight="1" x14ac:dyDescent="0.2">
      <c r="B22" s="107" t="s">
        <v>180</v>
      </c>
      <c r="C22" s="631">
        <f>'TM1_micromobilidade '!E43</f>
        <v>0</v>
      </c>
      <c r="D22" s="109"/>
      <c r="E22" s="101"/>
      <c r="F22" s="160"/>
      <c r="G22" s="102"/>
      <c r="H22" s="102"/>
      <c r="I22" s="161"/>
      <c r="J22" s="162"/>
      <c r="K22" s="162"/>
      <c r="L22" s="162"/>
      <c r="M22" s="163"/>
      <c r="N22" s="162"/>
      <c r="O22" s="106"/>
      <c r="P22" s="129"/>
      <c r="Q22" s="129"/>
      <c r="R22" s="129"/>
      <c r="S22" s="129"/>
      <c r="T22" s="129"/>
      <c r="U22" s="129"/>
      <c r="V22" s="129"/>
      <c r="W22" s="118">
        <v>2034</v>
      </c>
      <c r="X22" s="140">
        <v>362</v>
      </c>
    </row>
    <row r="23" spans="1:24" s="128" customFormat="1" ht="40.15" customHeight="1" x14ac:dyDescent="0.2">
      <c r="B23" s="107" t="s">
        <v>181</v>
      </c>
      <c r="C23" s="631">
        <f>'TM1_micromobilidade '!E44</f>
        <v>0</v>
      </c>
      <c r="D23" s="109"/>
      <c r="E23" s="101"/>
      <c r="F23" s="160"/>
      <c r="G23" s="102"/>
      <c r="H23" s="102"/>
      <c r="I23" s="161"/>
      <c r="J23" s="102"/>
      <c r="K23" s="102"/>
      <c r="L23" s="102"/>
      <c r="M23" s="102"/>
      <c r="N23" s="102"/>
      <c r="O23" s="106"/>
      <c r="P23" s="129"/>
      <c r="Q23" s="129"/>
      <c r="R23" s="129"/>
      <c r="S23" s="129"/>
      <c r="T23" s="129"/>
      <c r="U23" s="129"/>
      <c r="V23" s="129"/>
      <c r="W23" s="118">
        <v>2035</v>
      </c>
      <c r="X23" s="140">
        <v>390</v>
      </c>
    </row>
    <row r="24" spans="1:24" s="128" customFormat="1" ht="40.15" customHeight="1" x14ac:dyDescent="0.2">
      <c r="B24" s="107" t="s">
        <v>182</v>
      </c>
      <c r="C24" s="631">
        <f>'TM1_micromobilidade '!E46</f>
        <v>0</v>
      </c>
      <c r="D24" s="109"/>
      <c r="E24" s="101"/>
      <c r="F24" s="101"/>
      <c r="G24" s="130"/>
      <c r="H24" s="130"/>
      <c r="I24" s="101"/>
      <c r="J24" s="106"/>
      <c r="K24" s="106"/>
      <c r="L24" s="106"/>
      <c r="M24" s="106"/>
      <c r="N24" s="106"/>
      <c r="O24" s="106"/>
      <c r="P24" s="129"/>
      <c r="Q24" s="129"/>
      <c r="R24" s="129"/>
      <c r="S24" s="129"/>
      <c r="T24" s="129"/>
      <c r="U24" s="129"/>
      <c r="V24" s="129"/>
      <c r="W24" s="118">
        <v>2036</v>
      </c>
      <c r="X24" s="140">
        <v>417</v>
      </c>
    </row>
    <row r="25" spans="1:24" s="128" customFormat="1" ht="40.15" customHeight="1" x14ac:dyDescent="0.2">
      <c r="B25" s="107" t="s">
        <v>183</v>
      </c>
      <c r="C25" s="631">
        <f>'TM1_micromobilidade '!E47</f>
        <v>0</v>
      </c>
      <c r="D25" s="109"/>
      <c r="E25" s="101"/>
      <c r="F25" s="101"/>
      <c r="G25" s="130"/>
      <c r="H25" s="130"/>
      <c r="I25" s="101"/>
      <c r="J25" s="106"/>
      <c r="K25" s="106"/>
      <c r="L25" s="106"/>
      <c r="M25" s="106"/>
      <c r="N25" s="106"/>
      <c r="O25" s="106"/>
      <c r="P25" s="129"/>
      <c r="Q25" s="129"/>
      <c r="R25" s="129"/>
      <c r="S25" s="129"/>
      <c r="T25" s="129"/>
      <c r="U25" s="129"/>
      <c r="V25" s="129"/>
      <c r="W25" s="118">
        <v>2037</v>
      </c>
      <c r="X25" s="140">
        <v>444</v>
      </c>
    </row>
    <row r="26" spans="1:24" s="128" customFormat="1" ht="40.15" customHeight="1" x14ac:dyDescent="0.2">
      <c r="B26" s="107" t="s">
        <v>184</v>
      </c>
      <c r="C26" s="631">
        <f>'TM1_micromobilidade '!E49</f>
        <v>0</v>
      </c>
      <c r="D26" s="109"/>
      <c r="E26" s="106"/>
      <c r="F26" s="106"/>
      <c r="G26" s="106"/>
      <c r="H26" s="106"/>
      <c r="I26" s="106"/>
      <c r="J26" s="106"/>
      <c r="K26" s="106"/>
      <c r="L26" s="106"/>
      <c r="M26" s="106"/>
      <c r="N26" s="106"/>
      <c r="O26" s="106"/>
      <c r="P26" s="129"/>
      <c r="Q26" s="129"/>
      <c r="R26" s="129"/>
      <c r="S26" s="129"/>
      <c r="T26" s="129"/>
      <c r="U26" s="129"/>
      <c r="V26" s="129"/>
      <c r="W26" s="118">
        <v>2038</v>
      </c>
      <c r="X26" s="140">
        <v>471</v>
      </c>
    </row>
    <row r="27" spans="1:24" s="128" customFormat="1" ht="40.15" customHeight="1" x14ac:dyDescent="0.2">
      <c r="A27" s="131"/>
      <c r="B27" s="107" t="s">
        <v>185</v>
      </c>
      <c r="C27" s="631">
        <f>'TM1_micromobilidade '!E50</f>
        <v>0</v>
      </c>
      <c r="D27" s="109"/>
      <c r="E27" s="106"/>
      <c r="F27" s="106"/>
      <c r="G27" s="106"/>
      <c r="H27" s="106"/>
      <c r="I27" s="106"/>
      <c r="J27" s="106"/>
      <c r="K27" s="106"/>
      <c r="L27" s="106"/>
      <c r="M27" s="106"/>
      <c r="N27" s="106"/>
      <c r="O27" s="106"/>
      <c r="W27" s="118">
        <v>2039</v>
      </c>
      <c r="X27" s="140">
        <v>498</v>
      </c>
    </row>
    <row r="28" spans="1:24" s="128" customFormat="1" ht="40.15" customHeight="1" x14ac:dyDescent="0.2">
      <c r="B28" s="260" t="s">
        <v>294</v>
      </c>
      <c r="C28" s="631">
        <f>'TM1_micromobilidade '!E52</f>
        <v>0</v>
      </c>
      <c r="D28" s="109"/>
      <c r="E28" s="106"/>
      <c r="F28" s="106"/>
      <c r="G28" s="106"/>
      <c r="H28" s="106"/>
      <c r="I28" s="106"/>
      <c r="J28" s="106"/>
      <c r="K28" s="106"/>
      <c r="L28" s="106"/>
      <c r="M28" s="106"/>
      <c r="N28" s="106"/>
      <c r="O28" s="106"/>
      <c r="W28" s="118">
        <v>2040</v>
      </c>
      <c r="X28" s="140">
        <v>325</v>
      </c>
    </row>
    <row r="29" spans="1:24" s="128" customFormat="1" ht="40.15" customHeight="1" x14ac:dyDescent="0.2">
      <c r="B29" s="260" t="s">
        <v>295</v>
      </c>
      <c r="C29" s="631">
        <f>'TM1_micromobilidade '!E53</f>
        <v>0</v>
      </c>
      <c r="D29" s="109"/>
      <c r="E29" s="106"/>
      <c r="F29" s="106"/>
      <c r="G29" s="106"/>
      <c r="H29" s="106"/>
      <c r="I29" s="106"/>
      <c r="J29" s="106"/>
      <c r="K29" s="106"/>
      <c r="L29" s="106"/>
      <c r="M29" s="106"/>
      <c r="N29" s="106"/>
      <c r="O29" s="106"/>
      <c r="W29" s="118"/>
      <c r="X29" s="140"/>
    </row>
    <row r="30" spans="1:24" s="123" customFormat="1" ht="22.5" x14ac:dyDescent="0.2">
      <c r="B30" s="260" t="s">
        <v>296</v>
      </c>
      <c r="C30" s="631">
        <f>'TM1_micromobilidade '!E54</f>
        <v>0</v>
      </c>
      <c r="D30" s="109"/>
      <c r="E30" s="124"/>
      <c r="F30" s="124"/>
      <c r="G30" s="124"/>
      <c r="H30" s="124"/>
      <c r="I30" s="124"/>
      <c r="J30" s="124"/>
      <c r="K30" s="124"/>
      <c r="L30" s="124"/>
      <c r="M30" s="124"/>
      <c r="N30" s="124"/>
      <c r="O30" s="124"/>
    </row>
    <row r="31" spans="1:24" s="123" customFormat="1" ht="35.450000000000003" customHeight="1" x14ac:dyDescent="0.2">
      <c r="B31" s="260" t="s">
        <v>297</v>
      </c>
      <c r="C31" s="631">
        <f>'TM1_micromobilidade '!E55</f>
        <v>0</v>
      </c>
      <c r="D31" s="109"/>
      <c r="E31" s="124"/>
      <c r="F31" s="124"/>
      <c r="G31" s="124"/>
      <c r="H31" s="124"/>
      <c r="I31" s="124"/>
      <c r="J31" s="124"/>
      <c r="K31" s="124"/>
      <c r="L31" s="124"/>
      <c r="M31" s="124"/>
      <c r="N31" s="124"/>
      <c r="O31" s="124"/>
    </row>
    <row r="32" spans="1:24" s="123" customFormat="1" ht="12.75" x14ac:dyDescent="0.2">
      <c r="D32" s="124"/>
      <c r="E32" s="124"/>
      <c r="F32" s="124"/>
      <c r="G32" s="124"/>
      <c r="H32" s="124"/>
      <c r="I32" s="124"/>
      <c r="J32" s="124"/>
      <c r="K32" s="124"/>
      <c r="L32" s="124"/>
      <c r="M32" s="124"/>
      <c r="N32" s="124"/>
      <c r="O32" s="124"/>
    </row>
    <row r="33" spans="2:15" s="121" customFormat="1" ht="12.75" x14ac:dyDescent="0.2">
      <c r="B33" s="120" t="s">
        <v>177</v>
      </c>
      <c r="D33" s="122"/>
      <c r="E33" s="122"/>
      <c r="F33" s="122"/>
      <c r="G33" s="122"/>
      <c r="H33" s="122"/>
      <c r="I33" s="122"/>
      <c r="J33" s="122"/>
      <c r="K33" s="122"/>
      <c r="L33" s="122"/>
      <c r="M33" s="122"/>
      <c r="N33" s="122"/>
      <c r="O33" s="122"/>
    </row>
    <row r="34" spans="2:15" s="175" customFormat="1" ht="12.75" x14ac:dyDescent="0.2">
      <c r="B34" s="176"/>
      <c r="D34" s="177"/>
      <c r="E34" s="177"/>
      <c r="F34" s="177"/>
      <c r="G34" s="177"/>
      <c r="H34" s="177"/>
      <c r="I34" s="177"/>
      <c r="J34" s="177"/>
      <c r="K34" s="177"/>
      <c r="L34" s="177"/>
      <c r="M34" s="177"/>
      <c r="N34" s="177"/>
      <c r="O34" s="177"/>
    </row>
    <row r="35" spans="2:15" s="175" customFormat="1" ht="12.75" x14ac:dyDescent="0.2">
      <c r="B35" s="176" t="s">
        <v>252</v>
      </c>
      <c r="D35" s="177"/>
      <c r="E35" s="177"/>
      <c r="F35" s="177"/>
      <c r="G35" s="177"/>
      <c r="H35" s="177"/>
      <c r="I35" s="177"/>
      <c r="J35" s="177"/>
      <c r="K35" s="177"/>
      <c r="L35" s="177"/>
      <c r="M35" s="177"/>
      <c r="N35" s="177"/>
      <c r="O35" s="177"/>
    </row>
    <row r="36" spans="2:15" s="175" customFormat="1" ht="12.75" x14ac:dyDescent="0.2">
      <c r="B36" s="176"/>
      <c r="D36" s="177"/>
      <c r="E36" s="177"/>
      <c r="F36" s="177"/>
      <c r="G36" s="177"/>
      <c r="H36" s="177"/>
      <c r="I36" s="177"/>
      <c r="J36" s="177"/>
      <c r="K36" s="177"/>
      <c r="L36" s="177"/>
      <c r="M36" s="177"/>
      <c r="N36" s="177"/>
      <c r="O36" s="177"/>
    </row>
    <row r="37" spans="2:15" s="175" customFormat="1" ht="12.75" x14ac:dyDescent="0.2">
      <c r="B37" s="120" t="s">
        <v>285</v>
      </c>
      <c r="C37" s="179" t="s">
        <v>77</v>
      </c>
      <c r="D37" s="122" t="s">
        <v>291</v>
      </c>
      <c r="E37" s="122" t="s">
        <v>256</v>
      </c>
      <c r="F37" s="177"/>
      <c r="G37" s="120" t="s">
        <v>286</v>
      </c>
      <c r="H37" s="179" t="s">
        <v>77</v>
      </c>
      <c r="I37" s="122" t="s">
        <v>291</v>
      </c>
      <c r="J37" s="122" t="s">
        <v>256</v>
      </c>
      <c r="K37" s="177"/>
      <c r="L37" s="177"/>
      <c r="M37" s="177"/>
      <c r="N37" s="177"/>
      <c r="O37" s="177"/>
    </row>
    <row r="38" spans="2:15" s="175" customFormat="1" ht="12.75" x14ac:dyDescent="0.2">
      <c r="B38" s="176" t="s">
        <v>125</v>
      </c>
      <c r="C38" s="178">
        <v>0.55000000000000004</v>
      </c>
      <c r="D38" s="180">
        <f>'Fatores de Emissão'!$E$99</f>
        <v>0.12029271250000002</v>
      </c>
      <c r="E38" s="181">
        <f t="shared" ref="E38:E43" si="1">C38*D38</f>
        <v>6.6160991875000019E-2</v>
      </c>
      <c r="F38" s="177"/>
      <c r="G38" s="176" t="s">
        <v>125</v>
      </c>
      <c r="H38" s="178">
        <v>0.84</v>
      </c>
      <c r="I38" s="177">
        <f>'Fatores de Emissão'!$E$63</f>
        <v>8.29704311418685E-2</v>
      </c>
      <c r="J38" s="181">
        <f>H38*I38</f>
        <v>6.9695162159169544E-2</v>
      </c>
      <c r="K38" s="177"/>
      <c r="L38" s="177"/>
      <c r="M38" s="177"/>
      <c r="N38" s="177"/>
      <c r="O38" s="177"/>
    </row>
    <row r="39" spans="2:15" s="175" customFormat="1" ht="12.75" x14ac:dyDescent="0.2">
      <c r="B39" s="176" t="s">
        <v>227</v>
      </c>
      <c r="C39" s="178">
        <v>0.38</v>
      </c>
      <c r="D39" s="180">
        <f>'Fatores de Emissão'!$E$93</f>
        <v>0.12633856874999999</v>
      </c>
      <c r="E39" s="181">
        <f t="shared" si="1"/>
        <v>4.8008656125E-2</v>
      </c>
      <c r="F39" s="177"/>
      <c r="G39" s="176" t="s">
        <v>89</v>
      </c>
      <c r="H39" s="178">
        <v>0.16</v>
      </c>
      <c r="I39" s="177">
        <f>'Fatores de Emissão'!$E$68</f>
        <v>9.3486387543252586E-2</v>
      </c>
      <c r="J39" s="181">
        <f>H39*I39</f>
        <v>1.4957822006920415E-2</v>
      </c>
      <c r="K39" s="177"/>
      <c r="L39" s="177"/>
      <c r="M39" s="177"/>
      <c r="N39" s="177"/>
      <c r="O39" s="177"/>
    </row>
    <row r="40" spans="2:15" s="175" customFormat="1" ht="12.75" x14ac:dyDescent="0.2">
      <c r="B40" s="176" t="s">
        <v>230</v>
      </c>
      <c r="C40" s="178">
        <v>0.01</v>
      </c>
      <c r="D40" s="180">
        <f>'Fatores de Emissão'!E102</f>
        <v>0.119959</v>
      </c>
      <c r="E40" s="181">
        <f t="shared" si="1"/>
        <v>1.1995899999999999E-3</v>
      </c>
      <c r="F40" s="177"/>
      <c r="G40" s="182" t="s">
        <v>246</v>
      </c>
      <c r="H40" s="183"/>
      <c r="I40" s="184"/>
      <c r="J40" s="185">
        <f>SUM(J34:J39)</f>
        <v>8.4652984166089962E-2</v>
      </c>
      <c r="K40" s="177"/>
      <c r="L40" s="177"/>
      <c r="M40" s="177"/>
      <c r="N40" s="177"/>
      <c r="O40" s="177"/>
    </row>
    <row r="41" spans="2:15" s="175" customFormat="1" ht="12.75" x14ac:dyDescent="0.2">
      <c r="B41" s="176" t="s">
        <v>255</v>
      </c>
      <c r="C41" s="178">
        <v>0.02</v>
      </c>
      <c r="D41" s="180">
        <f>'Fatores de Emissão'!$E$9</f>
        <v>1.3839724576271188E-2</v>
      </c>
      <c r="E41" s="181">
        <f t="shared" si="1"/>
        <v>2.7679449152542379E-4</v>
      </c>
      <c r="F41" s="177"/>
      <c r="G41" s="177"/>
      <c r="H41" s="177"/>
      <c r="I41" s="177"/>
      <c r="J41" s="177"/>
      <c r="K41" s="177"/>
      <c r="L41" s="177"/>
      <c r="M41" s="177"/>
      <c r="N41" s="177"/>
      <c r="O41" s="177"/>
    </row>
    <row r="42" spans="2:15" s="175" customFormat="1" ht="12.75" x14ac:dyDescent="0.2">
      <c r="B42" s="176" t="s">
        <v>254</v>
      </c>
      <c r="C42" s="178">
        <v>0.02</v>
      </c>
      <c r="D42" s="180">
        <f>'Fatores de Emissão'!$E$96</f>
        <v>8.0156249999999998E-2</v>
      </c>
      <c r="E42" s="181">
        <f t="shared" si="1"/>
        <v>1.6031249999999999E-3</v>
      </c>
      <c r="F42" s="177"/>
      <c r="G42" s="177"/>
      <c r="H42" s="177"/>
      <c r="I42" s="177"/>
      <c r="J42" s="177"/>
      <c r="K42" s="177"/>
      <c r="L42" s="177"/>
      <c r="M42" s="177"/>
      <c r="N42" s="177"/>
      <c r="O42" s="177"/>
    </row>
    <row r="43" spans="2:15" s="175" customFormat="1" ht="12.75" x14ac:dyDescent="0.2">
      <c r="B43" s="176" t="s">
        <v>260</v>
      </c>
      <c r="C43" s="178">
        <v>0.02</v>
      </c>
      <c r="D43" s="180">
        <f>'Fatores de Emissão'!$E$10</f>
        <v>4.4243290960451981E-3</v>
      </c>
      <c r="E43" s="181">
        <f t="shared" si="1"/>
        <v>8.8486581920903967E-5</v>
      </c>
      <c r="F43" s="177"/>
      <c r="G43" s="188" t="s">
        <v>263</v>
      </c>
      <c r="H43" s="186" t="s">
        <v>9</v>
      </c>
      <c r="I43" s="177"/>
      <c r="J43" s="177"/>
      <c r="K43" s="177"/>
      <c r="L43" s="177"/>
      <c r="M43" s="177"/>
      <c r="N43" s="177"/>
      <c r="O43" s="177"/>
    </row>
    <row r="44" spans="2:15" s="175" customFormat="1" ht="12.75" x14ac:dyDescent="0.2">
      <c r="B44" s="182" t="s">
        <v>246</v>
      </c>
      <c r="C44" s="183"/>
      <c r="D44" s="184"/>
      <c r="E44" s="185">
        <f>SUM(E38:E43)</f>
        <v>0.11733764407344634</v>
      </c>
      <c r="F44" s="177"/>
      <c r="G44" s="187" t="s">
        <v>205</v>
      </c>
      <c r="H44" s="177" t="e">
        <f>VLOOKUP($C$13,FAListas!$C$20:$D$28,2,FALSE)</f>
        <v>#N/A</v>
      </c>
      <c r="I44" s="177"/>
      <c r="J44" s="177"/>
      <c r="K44" s="177"/>
      <c r="L44" s="177"/>
      <c r="M44" s="177"/>
      <c r="N44" s="177"/>
      <c r="O44" s="177"/>
    </row>
    <row r="45" spans="2:15" s="175" customFormat="1" ht="12.75" x14ac:dyDescent="0.2">
      <c r="D45" s="177"/>
      <c r="E45" s="177"/>
      <c r="F45" s="177"/>
      <c r="G45" s="204"/>
      <c r="H45" s="205"/>
      <c r="I45" s="177"/>
      <c r="J45" s="177"/>
      <c r="K45" s="177"/>
      <c r="L45" s="177"/>
      <c r="M45" s="177"/>
      <c r="N45" s="177"/>
      <c r="O45" s="177"/>
    </row>
    <row r="46" spans="2:15" s="175" customFormat="1" ht="12.75" x14ac:dyDescent="0.2">
      <c r="D46" s="177"/>
      <c r="E46" s="177"/>
      <c r="F46" s="177"/>
      <c r="G46" s="187" t="s">
        <v>154</v>
      </c>
      <c r="H46" s="177">
        <f>'Fatores de Emissão'!$E$47</f>
        <v>8.9999999999999993E-3</v>
      </c>
      <c r="I46" s="177"/>
      <c r="J46" s="177"/>
      <c r="K46" s="177"/>
      <c r="L46" s="177"/>
      <c r="M46" s="177"/>
      <c r="N46" s="177"/>
      <c r="O46" s="177"/>
    </row>
    <row r="47" spans="2:15" s="175" customFormat="1" ht="12.75" x14ac:dyDescent="0.2">
      <c r="D47" s="177"/>
      <c r="E47" s="177"/>
      <c r="F47" s="177"/>
      <c r="G47" s="187" t="s">
        <v>110</v>
      </c>
      <c r="H47" s="177">
        <v>0</v>
      </c>
      <c r="I47" s="177"/>
      <c r="J47" s="177"/>
      <c r="K47" s="177"/>
      <c r="L47" s="177"/>
      <c r="M47" s="177"/>
      <c r="N47" s="177"/>
      <c r="O47" s="177"/>
    </row>
    <row r="48" spans="2:15" s="175" customFormat="1" ht="12.75" x14ac:dyDescent="0.2">
      <c r="D48" s="177"/>
      <c r="E48" s="177"/>
      <c r="F48" s="177"/>
      <c r="G48" s="187" t="s">
        <v>266</v>
      </c>
      <c r="H48" s="177">
        <v>0</v>
      </c>
      <c r="I48" s="177"/>
      <c r="J48" s="177"/>
      <c r="K48" s="177"/>
      <c r="L48" s="177"/>
      <c r="M48" s="177"/>
      <c r="N48" s="177"/>
      <c r="O48" s="177"/>
    </row>
    <row r="49" spans="1:23" s="175" customFormat="1" ht="12.75" x14ac:dyDescent="0.2">
      <c r="D49" s="177"/>
      <c r="E49" s="177"/>
      <c r="F49" s="177"/>
      <c r="G49" s="187" t="s">
        <v>109</v>
      </c>
      <c r="H49" s="177">
        <f>'Fatores de Emissão'!$E$14</f>
        <v>5.6709999999999998E-3</v>
      </c>
      <c r="I49" s="177"/>
      <c r="J49" s="177"/>
      <c r="K49" s="177"/>
      <c r="L49" s="177"/>
      <c r="M49" s="177"/>
      <c r="N49" s="177"/>
      <c r="O49" s="177"/>
    </row>
    <row r="50" spans="1:23" s="175" customFormat="1" ht="12.75" x14ac:dyDescent="0.2">
      <c r="D50" s="177"/>
      <c r="E50" s="177"/>
      <c r="F50" s="177"/>
      <c r="G50" s="187" t="s">
        <v>267</v>
      </c>
      <c r="H50" s="177">
        <f>'Fatores de Emissão'!F13</f>
        <v>4.1099999999999998E-2</v>
      </c>
      <c r="I50" s="177"/>
      <c r="J50" s="177"/>
      <c r="K50" s="177"/>
      <c r="L50" s="177"/>
      <c r="M50" s="177"/>
      <c r="N50" s="177"/>
      <c r="O50" s="177"/>
    </row>
    <row r="51" spans="1:23" s="175" customFormat="1" ht="12.75" x14ac:dyDescent="0.2">
      <c r="D51" s="177"/>
      <c r="E51" s="177" t="s">
        <v>859</v>
      </c>
      <c r="F51" s="177"/>
      <c r="G51" s="187" t="s">
        <v>268</v>
      </c>
      <c r="H51" s="177">
        <f>'Fatores de Emissão'!E11</f>
        <v>3.10086E-3</v>
      </c>
      <c r="I51" s="177"/>
      <c r="J51" s="177"/>
      <c r="K51" s="177"/>
      <c r="L51" s="177"/>
      <c r="M51" s="177"/>
      <c r="N51" s="177"/>
      <c r="O51" s="177"/>
    </row>
    <row r="52" spans="1:23" s="175" customFormat="1" ht="12.75" x14ac:dyDescent="0.2">
      <c r="D52" s="177"/>
      <c r="E52" s="177"/>
      <c r="F52" s="177"/>
      <c r="G52" s="187"/>
      <c r="H52" s="177"/>
      <c r="I52" s="177"/>
      <c r="J52" s="177"/>
      <c r="K52" s="177"/>
      <c r="L52" s="177"/>
      <c r="M52" s="177"/>
      <c r="N52" s="177"/>
      <c r="O52" s="177"/>
    </row>
    <row r="53" spans="1:23" s="175" customFormat="1" ht="31.5" x14ac:dyDescent="0.5">
      <c r="B53" s="249"/>
      <c r="D53" s="177"/>
      <c r="E53" s="177"/>
      <c r="F53" s="249"/>
      <c r="I53" s="249" t="s">
        <v>969</v>
      </c>
      <c r="J53" s="177"/>
      <c r="L53" s="177"/>
      <c r="M53" s="177"/>
      <c r="N53" s="177"/>
      <c r="O53" s="249"/>
      <c r="T53" s="249"/>
    </row>
    <row r="54" spans="1:23" s="123" customFormat="1" ht="12.75" x14ac:dyDescent="0.2">
      <c r="D54" s="209"/>
      <c r="E54" s="124"/>
      <c r="F54" s="124"/>
      <c r="G54" s="124"/>
      <c r="H54" s="124"/>
      <c r="I54" s="209"/>
      <c r="J54" s="124"/>
      <c r="K54" s="124"/>
      <c r="L54" s="124"/>
      <c r="M54" s="124"/>
      <c r="N54" s="124"/>
      <c r="O54" s="124"/>
    </row>
    <row r="55" spans="1:23" s="123" customFormat="1" ht="40.15" customHeight="1" x14ac:dyDescent="0.2">
      <c r="A55" s="108" t="s">
        <v>300</v>
      </c>
      <c r="B55" s="108" t="s">
        <v>264</v>
      </c>
      <c r="C55" s="151" t="s">
        <v>287</v>
      </c>
      <c r="D55" s="108" t="s">
        <v>207</v>
      </c>
      <c r="E55" s="108" t="s">
        <v>206</v>
      </c>
      <c r="F55" s="108" t="s">
        <v>208</v>
      </c>
      <c r="G55" s="108" t="s">
        <v>305</v>
      </c>
      <c r="H55" s="108" t="s">
        <v>306</v>
      </c>
      <c r="I55" s="147" t="s">
        <v>209</v>
      </c>
      <c r="J55" s="147" t="s">
        <v>210</v>
      </c>
      <c r="K55" s="147" t="s">
        <v>211</v>
      </c>
      <c r="L55" s="147" t="s">
        <v>302</v>
      </c>
      <c r="M55" s="147" t="s">
        <v>301</v>
      </c>
      <c r="N55" s="101"/>
      <c r="O55" s="101"/>
      <c r="P55" s="101"/>
      <c r="Q55" s="101"/>
      <c r="R55" s="101"/>
      <c r="S55" s="101"/>
      <c r="T55" s="101"/>
      <c r="U55" s="101"/>
      <c r="V55" s="101"/>
      <c r="W55" s="101"/>
    </row>
    <row r="56" spans="1:23" s="123" customFormat="1" ht="40.15" customHeight="1" x14ac:dyDescent="0.2">
      <c r="A56" s="267"/>
      <c r="B56" s="264" t="s">
        <v>204</v>
      </c>
      <c r="C56" s="152">
        <v>0.45900000000000002</v>
      </c>
      <c r="D56" s="145"/>
      <c r="E56" s="145"/>
      <c r="F56" s="145"/>
      <c r="G56" s="145"/>
      <c r="H56" s="164"/>
      <c r="I56" s="143"/>
      <c r="J56" s="142"/>
      <c r="K56" s="142"/>
      <c r="L56" s="142"/>
      <c r="M56" s="142"/>
      <c r="N56" s="124"/>
      <c r="O56" s="124"/>
      <c r="S56" s="389"/>
      <c r="T56" s="124"/>
      <c r="U56" s="124"/>
      <c r="V56" s="124"/>
      <c r="W56" s="124"/>
    </row>
    <row r="57" spans="1:23" s="123" customFormat="1" ht="40.15" customHeight="1" x14ac:dyDescent="0.2">
      <c r="A57" s="265">
        <f>C57/$B$62</f>
        <v>0.31901294182718681</v>
      </c>
      <c r="B57" s="266" t="s">
        <v>262</v>
      </c>
      <c r="C57" s="153">
        <v>0.13900000000000001</v>
      </c>
      <c r="D57" s="148">
        <f>IFERROR(IF('TM1_micromobilidade '!$E$73=FAListas!$C$60,0,'TM1_micromobilidade '!$E$84/100),"0")</f>
        <v>0</v>
      </c>
      <c r="E57" s="148">
        <f>IFERROR(IF('TM1_micromobilidade '!$E$73=FAListas!$C$60,0,'TM1_micromobilidade '!E91/100),"0")</f>
        <v>0</v>
      </c>
      <c r="F57" s="148">
        <f>IFERROR(IF('TM1_micromobilidade '!$E$73=FAListas!$C$60,0,'TM1_micromobilidade '!E98/100),"0")</f>
        <v>0</v>
      </c>
      <c r="G57" s="148">
        <f>IFERROR(IF('TM1_micromobilidade '!$E$73=FAListas!$C$60,0,'TM1_micromobilidade '!E105/100),"0")</f>
        <v>0</v>
      </c>
      <c r="H57" s="148">
        <f>IFERROR(IF('TM1_micromobilidade '!$E$73=FAListas!$C$60,0,'TM1_micromobilidade '!E106/100),"0")</f>
        <v>0</v>
      </c>
      <c r="I57" s="263">
        <f>IF('TM1_micromobilidade '!$E$73=FAListas!$C$59,0,$A$57)</f>
        <v>0</v>
      </c>
      <c r="J57" s="263">
        <f>IF('TM1_micromobilidade '!$E$73=FAListas!$C$59,0,$A$57)</f>
        <v>0</v>
      </c>
      <c r="K57" s="263">
        <f>IF('TM1_micromobilidade '!$E$73=FAListas!$C$59,0,$A$57)</f>
        <v>0</v>
      </c>
      <c r="L57" s="263">
        <f>IF('TM1_micromobilidade '!$E$73=FAListas!$C$59,0,$A$57)</f>
        <v>0</v>
      </c>
      <c r="M57" s="454">
        <f>IF('TM1_micromobilidade '!$E$73=FAListas!$C$59,0,$A$57)</f>
        <v>0</v>
      </c>
      <c r="N57" s="157"/>
      <c r="O57" s="157"/>
      <c r="P57" s="157"/>
      <c r="Q57" s="157"/>
      <c r="R57" s="157"/>
      <c r="S57" s="349"/>
      <c r="T57" s="349"/>
      <c r="U57" s="349"/>
      <c r="V57" s="349"/>
      <c r="W57" s="349"/>
    </row>
    <row r="58" spans="1:23" s="123" customFormat="1" ht="40.15" customHeight="1" x14ac:dyDescent="0.2">
      <c r="A58" s="265">
        <f>C58/$B$62</f>
        <v>8.216763556328735E-2</v>
      </c>
      <c r="B58" s="266" t="s">
        <v>261</v>
      </c>
      <c r="C58" s="153">
        <f>(0.078*C56)</f>
        <v>3.5802E-2</v>
      </c>
      <c r="D58" s="148">
        <f>IFERROR(IF('TM1_micromobilidade '!$E$73=FAListas!$C$60,0,'TM1_micromobilidade '!$E$85/100),"0")</f>
        <v>0</v>
      </c>
      <c r="E58" s="148">
        <f>IFERROR(IF('TM1_micromobilidade '!$E$73=FAListas!$C$60,0,'TM1_micromobilidade '!E92/100),"0")</f>
        <v>0</v>
      </c>
      <c r="F58" s="148">
        <f>IFERROR(IF('TM1_micromobilidade '!$E$73=FAListas!$C$60,0,'TM1_micromobilidade '!E99/100),"0")</f>
        <v>0</v>
      </c>
      <c r="G58" s="148">
        <f>IFERROR(IF('TM1_micromobilidade '!$E$73=FAListas!$C$60,0,'TM1_micromobilidade '!E107/100),"0")</f>
        <v>0</v>
      </c>
      <c r="H58" s="148">
        <f>IFERROR(IF('TM1_micromobilidade '!$E$73=FAListas!$C$60,0,'TM1_micromobilidade '!E108/100),"0")</f>
        <v>0</v>
      </c>
      <c r="I58" s="263">
        <f>IF('TM1_micromobilidade '!$E$73=FAListas!$C$59,0,$A$58)</f>
        <v>0</v>
      </c>
      <c r="J58" s="263">
        <f>IF('TM1_micromobilidade '!$E$73=FAListas!$C$59,0,$A$58)</f>
        <v>0</v>
      </c>
      <c r="K58" s="263">
        <f>IF('TM1_micromobilidade '!$E$73=FAListas!$C$59,0,$A$58)</f>
        <v>0</v>
      </c>
      <c r="L58" s="263">
        <f>IF('TM1_micromobilidade '!$E$73=FAListas!$C$59,0,$A$58)</f>
        <v>0</v>
      </c>
      <c r="M58" s="454">
        <f>IF('TM1_micromobilidade '!$E$73=FAListas!$C$59,0,$A$58)</f>
        <v>0</v>
      </c>
      <c r="N58" s="157"/>
      <c r="O58" s="157"/>
      <c r="P58" s="157"/>
      <c r="Q58" s="157"/>
      <c r="R58" s="157"/>
      <c r="S58" s="349"/>
      <c r="T58" s="349"/>
      <c r="U58" s="349"/>
      <c r="V58" s="349"/>
      <c r="W58" s="349"/>
    </row>
    <row r="59" spans="1:23" s="123" customFormat="1" ht="40.15" customHeight="1" x14ac:dyDescent="0.2">
      <c r="A59" s="265">
        <f>C59/$B$62</f>
        <v>3.2656367980280869E-2</v>
      </c>
      <c r="B59" s="266" t="s">
        <v>205</v>
      </c>
      <c r="C59" s="153">
        <f>C56*0.031</f>
        <v>1.4229E-2</v>
      </c>
      <c r="D59" s="148">
        <f>IFERROR(IF('TM1_micromobilidade '!$E$73=FAListas!$C$60,0,'TM1_micromobilidade '!E86/100),"0")</f>
        <v>0</v>
      </c>
      <c r="E59" s="148">
        <f>IFERROR(IF('TM1_micromobilidade '!$E$73=FAListas!$C$60,0,'TM1_micromobilidade '!E93/100),"0")</f>
        <v>0</v>
      </c>
      <c r="F59" s="148">
        <f>IFERROR(IF('TM1_micromobilidade '!$E$73=FAListas!$C$60,0,'TM1_micromobilidade '!E100/100),"0")</f>
        <v>0</v>
      </c>
      <c r="G59" s="148">
        <f>IFERROR(IF('TM1_micromobilidade '!$E$73=FAListas!$C$60,0,'TM1_micromobilidade '!E109/100),"0")</f>
        <v>0</v>
      </c>
      <c r="H59" s="148">
        <f>IFERROR(IF('TM1_micromobilidade '!$E$73=FAListas!$C$60,0,'TM1_micromobilidade '!E110/100),"0")</f>
        <v>0</v>
      </c>
      <c r="I59" s="263">
        <f>IF('TM1_micromobilidade '!$E$73=FAListas!$C$59,0,$A$59)</f>
        <v>0</v>
      </c>
      <c r="J59" s="263">
        <f>IF('TM1_micromobilidade '!$E$73=FAListas!$C$59,0,$A$59)</f>
        <v>0</v>
      </c>
      <c r="K59" s="263">
        <f>IF('TM1_micromobilidade '!$E$73=FAListas!$C$59,0,$A$59)</f>
        <v>0</v>
      </c>
      <c r="L59" s="263">
        <f>IF('TM1_micromobilidade '!$E$73=FAListas!$C$59,0,$A$59)</f>
        <v>0</v>
      </c>
      <c r="M59" s="454">
        <f>IF('TM1_micromobilidade '!$E$73=FAListas!$C$59,0,$A$59)</f>
        <v>0</v>
      </c>
      <c r="N59" s="157"/>
      <c r="O59" s="157"/>
      <c r="P59" s="157"/>
      <c r="Q59" s="157"/>
      <c r="R59" s="157"/>
      <c r="S59" s="349"/>
      <c r="T59" s="349"/>
      <c r="U59" s="349"/>
      <c r="V59" s="349"/>
      <c r="W59" s="349"/>
    </row>
    <row r="60" spans="1:23" s="123" customFormat="1" ht="40.15" customHeight="1" x14ac:dyDescent="0.2">
      <c r="A60" s="265">
        <f>C60/$B$62</f>
        <v>3.3709799205451224E-2</v>
      </c>
      <c r="B60" s="266" t="s">
        <v>154</v>
      </c>
      <c r="C60" s="153">
        <f>C56*0.032</f>
        <v>1.4688000000000001E-2</v>
      </c>
      <c r="D60" s="148">
        <f>IFERROR(IF('TM1_micromobilidade '!$E$73=FAListas!$C$60,0,'TM1_micromobilidade '!E87/100),"0")</f>
        <v>0</v>
      </c>
      <c r="E60" s="148">
        <f>IFERROR(IF('TM1_micromobilidade '!$E$73=FAListas!$C$60,0,'TM1_micromobilidade '!E94/100),"0")</f>
        <v>0</v>
      </c>
      <c r="F60" s="148">
        <f>IFERROR(IF('TM1_micromobilidade '!$E$73=FAListas!$C$60,0,'TM1_micromobilidade '!E101/100),"0")</f>
        <v>0</v>
      </c>
      <c r="G60" s="148">
        <f>IFERROR(IF('TM1_micromobilidade '!$E$73=FAListas!$C$60,0,'TM1_micromobilidade '!E111/100),"0")</f>
        <v>0</v>
      </c>
      <c r="H60" s="148">
        <f>IFERROR(IF('TM1_micromobilidade '!$E$73=FAListas!$C$60,0,'TM1_micromobilidade '!E112/100),"0")</f>
        <v>0</v>
      </c>
      <c r="I60" s="263">
        <f>IF('TM1_micromobilidade '!$E$73=FAListas!$C$59,0,$A$60)</f>
        <v>0</v>
      </c>
      <c r="J60" s="263">
        <f>IF('TM1_micromobilidade '!$E$73=FAListas!$C$59,0,$A$60)</f>
        <v>0</v>
      </c>
      <c r="K60" s="263">
        <f>IF('TM1_micromobilidade '!$E$73=FAListas!$C$59,0,$A$60)</f>
        <v>0</v>
      </c>
      <c r="L60" s="263">
        <f>IF('TM1_micromobilidade '!$E$73=FAListas!$C$59,0,$A$60)</f>
        <v>0</v>
      </c>
      <c r="M60" s="454">
        <f>IF('TM1_micromobilidade '!$E$73=FAListas!$C$59,0,$A$60)</f>
        <v>0</v>
      </c>
      <c r="N60" s="157"/>
      <c r="O60" s="157"/>
      <c r="P60" s="157"/>
      <c r="Q60" s="157"/>
      <c r="R60" s="157"/>
      <c r="S60" s="349"/>
      <c r="T60" s="349"/>
      <c r="U60" s="349"/>
      <c r="V60" s="349"/>
      <c r="W60" s="349"/>
    </row>
    <row r="61" spans="1:23" s="123" customFormat="1" ht="40.15" customHeight="1" x14ac:dyDescent="0.2">
      <c r="A61" s="265">
        <f>C61/$B$62</f>
        <v>0.53245325542379374</v>
      </c>
      <c r="B61" s="266" t="s">
        <v>110</v>
      </c>
      <c r="C61" s="153">
        <v>0.23200000000000001</v>
      </c>
      <c r="D61" s="148">
        <f>IFERROR(IF('TM1_micromobilidade '!$E$73=FAListas!$C$60,0,'TM1_micromobilidade '!E88/100),"0")</f>
        <v>0</v>
      </c>
      <c r="E61" s="148">
        <f>IFERROR(IF('TM1_micromobilidade '!$E$73=FAListas!$C$60,0,'TM1_micromobilidade '!E95/100),"0")</f>
        <v>0</v>
      </c>
      <c r="F61" s="148">
        <f>IFERROR(IF('TM1_micromobilidade '!$E$73=FAListas!$C$60,0,'TM1_micromobilidade '!E102/100),"0")</f>
        <v>0</v>
      </c>
      <c r="G61" s="148">
        <f>IFERROR(IF('TM1_micromobilidade '!$E$73=FAListas!$C$60,0,'TM1_micromobilidade '!E114/100),"0")</f>
        <v>0</v>
      </c>
      <c r="H61" s="148" t="str">
        <f>IFERROR(IF('TM1_micromobilidade '!$E$73=FAListas!$C$60,0,'TM1_micromobilidade '!E115/100),"0")</f>
        <v>0</v>
      </c>
      <c r="I61" s="263">
        <f>IF('TM1_micromobilidade '!$E$73=FAListas!$C$59,0,$A$61)</f>
        <v>0</v>
      </c>
      <c r="J61" s="263">
        <f>IF('TM1_micromobilidade '!$E$73=FAListas!$C$59,0,$A$61)</f>
        <v>0</v>
      </c>
      <c r="K61" s="263">
        <f>IF('TM1_micromobilidade '!$E$73=FAListas!$C$59,0,$A$61)</f>
        <v>0</v>
      </c>
      <c r="L61" s="263">
        <f>IF('TM1_micromobilidade '!$E$73=FAListas!$C$59,0,$A$61)</f>
        <v>0</v>
      </c>
      <c r="M61" s="454">
        <f>IF('TM1_micromobilidade '!$E$73=FAListas!$C$59,0,$A$61)</f>
        <v>0</v>
      </c>
      <c r="N61" s="157"/>
      <c r="O61" s="157"/>
      <c r="P61" s="157"/>
      <c r="Q61" s="157"/>
      <c r="R61" s="157"/>
      <c r="S61" s="349"/>
      <c r="T61" s="349"/>
      <c r="U61" s="349"/>
      <c r="V61" s="349"/>
      <c r="W61" s="349"/>
    </row>
    <row r="62" spans="1:23" s="123" customFormat="1" ht="40.15" customHeight="1" x14ac:dyDescent="0.2">
      <c r="B62" s="454">
        <f>SUM(C57:C61)</f>
        <v>0.43571900000000002</v>
      </c>
      <c r="C62" s="153"/>
      <c r="D62" s="253"/>
      <c r="E62" s="253"/>
      <c r="F62" s="253"/>
      <c r="G62" s="253"/>
      <c r="H62" s="253"/>
      <c r="I62" s="252"/>
      <c r="J62" s="252"/>
      <c r="K62" s="252"/>
      <c r="L62" s="252"/>
      <c r="M62" s="141"/>
      <c r="N62" s="124"/>
      <c r="O62" s="124"/>
      <c r="S62" s="141"/>
      <c r="T62" s="141"/>
      <c r="U62" s="141"/>
      <c r="V62" s="141"/>
      <c r="W62" s="141"/>
    </row>
    <row r="63" spans="1:23" s="123" customFormat="1" ht="40.15" customHeight="1" x14ac:dyDescent="0.2">
      <c r="B63" s="171" t="s">
        <v>265</v>
      </c>
      <c r="C63" s="172"/>
      <c r="D63" s="108" t="s">
        <v>269</v>
      </c>
      <c r="E63" s="108" t="s">
        <v>109</v>
      </c>
      <c r="F63" s="108" t="s">
        <v>270</v>
      </c>
      <c r="G63" s="108" t="s">
        <v>304</v>
      </c>
      <c r="H63" s="108" t="s">
        <v>303</v>
      </c>
      <c r="I63" s="147" t="s">
        <v>269</v>
      </c>
      <c r="J63" s="147" t="s">
        <v>109</v>
      </c>
      <c r="K63" s="147" t="s">
        <v>267</v>
      </c>
      <c r="L63" s="147" t="s">
        <v>304</v>
      </c>
      <c r="M63" s="147" t="s">
        <v>303</v>
      </c>
      <c r="N63" s="101"/>
      <c r="O63" s="101"/>
      <c r="P63" s="101"/>
      <c r="Q63" s="101"/>
      <c r="R63" s="101"/>
      <c r="S63" s="101"/>
      <c r="T63" s="101"/>
      <c r="U63" s="101"/>
      <c r="V63" s="101"/>
      <c r="W63" s="101"/>
    </row>
    <row r="64" spans="1:23" s="123" customFormat="1" ht="40.15" customHeight="1" x14ac:dyDescent="0.2">
      <c r="B64" s="144" t="s">
        <v>262</v>
      </c>
      <c r="C64" s="146"/>
      <c r="D64" s="144">
        <f>IFERROR($G$13*D57,"0")</f>
        <v>0</v>
      </c>
      <c r="E64" s="144">
        <f>IFERROR($G$14*E57,"0")</f>
        <v>0</v>
      </c>
      <c r="F64" s="144">
        <f>IFERROR($G$15*F57,"0")</f>
        <v>0</v>
      </c>
      <c r="G64" s="144">
        <f>IFERROR($G$16*G57,"0")</f>
        <v>0</v>
      </c>
      <c r="H64" s="144">
        <f>IFERROR($G$17*H57,"0")</f>
        <v>0</v>
      </c>
      <c r="I64" s="148">
        <f>IFERROR($G$13*I57,"0")</f>
        <v>0</v>
      </c>
      <c r="J64" s="148">
        <f>IFERROR($G$14*J57,"0")</f>
        <v>0</v>
      </c>
      <c r="K64" s="144">
        <f>IFERROR($G$15*K57,"0")</f>
        <v>0</v>
      </c>
      <c r="L64" s="144">
        <f>IFERROR($G$16*L57,"0")</f>
        <v>0</v>
      </c>
      <c r="M64" s="252">
        <f>IFERROR($G$17*M57,"0")</f>
        <v>0</v>
      </c>
      <c r="N64" s="141"/>
      <c r="O64" s="141"/>
      <c r="P64" s="141"/>
      <c r="Q64" s="141"/>
      <c r="R64" s="141"/>
      <c r="S64" s="157"/>
      <c r="T64" s="157"/>
      <c r="U64" s="157"/>
      <c r="V64" s="157"/>
      <c r="W64" s="157"/>
    </row>
    <row r="65" spans="1:23" s="123" customFormat="1" ht="40.15" customHeight="1" x14ac:dyDescent="0.2">
      <c r="B65" s="144" t="s">
        <v>261</v>
      </c>
      <c r="C65" s="146"/>
      <c r="D65" s="144">
        <f>IFERROR($G$13*D58,"0")</f>
        <v>0</v>
      </c>
      <c r="E65" s="144">
        <f>IFERROR($G$14*E58,"0")</f>
        <v>0</v>
      </c>
      <c r="F65" s="144">
        <f>IFERROR($G$15*F58,"0")</f>
        <v>0</v>
      </c>
      <c r="G65" s="144">
        <f>IFERROR($G$16*G58,"0")</f>
        <v>0</v>
      </c>
      <c r="H65" s="144">
        <f>IFERROR($G$17*H58,"0")</f>
        <v>0</v>
      </c>
      <c r="I65" s="148">
        <f>IFERROR($G$13*I58,"0")</f>
        <v>0</v>
      </c>
      <c r="J65" s="148">
        <f>IFERROR($G$14*J58,"0")</f>
        <v>0</v>
      </c>
      <c r="K65" s="144">
        <f>IFERROR($G$15*K58,"0")</f>
        <v>0</v>
      </c>
      <c r="L65" s="144">
        <f>IFERROR($G$16*L58,"0")</f>
        <v>0</v>
      </c>
      <c r="M65" s="252">
        <f>IFERROR($G$17*M58,"0")</f>
        <v>0</v>
      </c>
      <c r="N65" s="141"/>
      <c r="O65" s="141"/>
      <c r="P65" s="141"/>
      <c r="Q65" s="141"/>
      <c r="R65" s="141"/>
      <c r="S65" s="157"/>
      <c r="T65" s="157"/>
      <c r="U65" s="157"/>
      <c r="V65" s="157"/>
      <c r="W65" s="157"/>
    </row>
    <row r="66" spans="1:23" s="123" customFormat="1" ht="40.15" customHeight="1" x14ac:dyDescent="0.2">
      <c r="B66" s="144" t="s">
        <v>205</v>
      </c>
      <c r="C66" s="149"/>
      <c r="D66" s="144">
        <f>IFERROR($G$13*D59,"0")</f>
        <v>0</v>
      </c>
      <c r="E66" s="144">
        <f>IFERROR($G$14*E59,"0")</f>
        <v>0</v>
      </c>
      <c r="F66" s="144">
        <f>IFERROR($G$15*F59,"0")</f>
        <v>0</v>
      </c>
      <c r="G66" s="144">
        <f>IFERROR($G$16*G59,"0")</f>
        <v>0</v>
      </c>
      <c r="H66" s="144">
        <f>IFERROR($G$17*H59,"0")</f>
        <v>0</v>
      </c>
      <c r="I66" s="148">
        <f>IFERROR($G$13*I59,"0")</f>
        <v>0</v>
      </c>
      <c r="J66" s="148">
        <f>IFERROR($G$14*J59,"0")</f>
        <v>0</v>
      </c>
      <c r="K66" s="144">
        <f>IFERROR($G$15*K59,"0")</f>
        <v>0</v>
      </c>
      <c r="L66" s="144">
        <f>IFERROR($G$16*L59,"0")</f>
        <v>0</v>
      </c>
      <c r="M66" s="252">
        <f>IFERROR($G$17*M59,"0")</f>
        <v>0</v>
      </c>
      <c r="N66" s="141"/>
      <c r="O66" s="141"/>
      <c r="P66" s="141"/>
      <c r="Q66" s="141"/>
      <c r="R66" s="141"/>
      <c r="S66" s="157"/>
      <c r="T66" s="157"/>
      <c r="U66" s="157"/>
      <c r="V66" s="157"/>
      <c r="W66" s="157"/>
    </row>
    <row r="67" spans="1:23" s="123" customFormat="1" ht="40.15" customHeight="1" x14ac:dyDescent="0.2">
      <c r="B67" s="144" t="s">
        <v>154</v>
      </c>
      <c r="C67" s="149"/>
      <c r="D67" s="144">
        <f>IFERROR($G$13*D60,"0")</f>
        <v>0</v>
      </c>
      <c r="E67" s="144">
        <f>IFERROR($G$14*E60,"0")</f>
        <v>0</v>
      </c>
      <c r="F67" s="144">
        <f>IFERROR($G$15*F60,"0")</f>
        <v>0</v>
      </c>
      <c r="G67" s="144">
        <f>IFERROR($G$16*G60,"0")</f>
        <v>0</v>
      </c>
      <c r="H67" s="144">
        <f>IFERROR($G$17*H60,"0")</f>
        <v>0</v>
      </c>
      <c r="I67" s="148">
        <f>IFERROR($G$13*I60,"0")</f>
        <v>0</v>
      </c>
      <c r="J67" s="148">
        <f>IFERROR($G$14*J60,"0")</f>
        <v>0</v>
      </c>
      <c r="K67" s="144">
        <f>IFERROR($G$15*K60,"0")</f>
        <v>0</v>
      </c>
      <c r="L67" s="144">
        <f>IFERROR($G$16*L60,"0")</f>
        <v>0</v>
      </c>
      <c r="M67" s="252">
        <f>IFERROR($G$17*M60,"0")</f>
        <v>0</v>
      </c>
      <c r="N67" s="141"/>
      <c r="O67" s="141"/>
      <c r="P67" s="141"/>
      <c r="Q67" s="141"/>
      <c r="R67" s="141"/>
      <c r="S67" s="157"/>
      <c r="T67" s="157"/>
      <c r="U67" s="157"/>
      <c r="V67" s="157"/>
      <c r="W67" s="157"/>
    </row>
    <row r="68" spans="1:23" s="123" customFormat="1" ht="40.15" customHeight="1" x14ac:dyDescent="0.2">
      <c r="B68" s="156" t="s">
        <v>176</v>
      </c>
      <c r="C68" s="149"/>
      <c r="D68" s="144">
        <f>IFERROR($H$47*D61,"0")</f>
        <v>0</v>
      </c>
      <c r="E68" s="144">
        <f>IFERROR($G$14*E61,"0")</f>
        <v>0</v>
      </c>
      <c r="F68" s="144">
        <f>IFERROR($G$15*F61,"0")</f>
        <v>0</v>
      </c>
      <c r="G68" s="144">
        <f>IFERROR($G$16*G61,"0")</f>
        <v>0</v>
      </c>
      <c r="H68" s="144">
        <f>IFERROR($G$17*H61,"0")</f>
        <v>0</v>
      </c>
      <c r="I68" s="148">
        <f>IFERROR($G$13*I61,"0")</f>
        <v>0</v>
      </c>
      <c r="J68" s="148">
        <f>IFERROR($G$14*J61,"0")</f>
        <v>0</v>
      </c>
      <c r="K68" s="144">
        <f>IFERROR($G$15*K61,"0")</f>
        <v>0</v>
      </c>
      <c r="L68" s="144">
        <f>IFERROR($G$16*L61,"0")</f>
        <v>0</v>
      </c>
      <c r="M68" s="252">
        <f>IFERROR($G$17*M61,"0")</f>
        <v>0</v>
      </c>
      <c r="N68" s="141"/>
      <c r="O68" s="141"/>
      <c r="P68" s="141"/>
      <c r="Q68" s="141"/>
      <c r="R68" s="141"/>
      <c r="S68" s="157"/>
      <c r="T68" s="157"/>
      <c r="U68" s="157"/>
      <c r="V68" s="157"/>
      <c r="W68" s="157"/>
    </row>
    <row r="69" spans="1:23" s="123" customFormat="1" ht="20.45" customHeight="1" x14ac:dyDescent="0.2">
      <c r="B69" s="156"/>
      <c r="C69" s="149"/>
      <c r="D69" s="124"/>
      <c r="E69" s="124"/>
      <c r="F69" s="124"/>
      <c r="G69" s="124"/>
      <c r="H69" s="124"/>
      <c r="I69" s="124"/>
      <c r="J69" s="124"/>
      <c r="K69" s="124"/>
      <c r="L69" s="124"/>
      <c r="M69" s="124"/>
      <c r="N69" s="124"/>
      <c r="O69" s="124"/>
      <c r="S69" s="124"/>
      <c r="T69" s="124"/>
      <c r="U69" s="124"/>
      <c r="V69" s="124"/>
      <c r="W69" s="124"/>
    </row>
    <row r="70" spans="1:23" s="123" customFormat="1" ht="40.15" customHeight="1" x14ac:dyDescent="0.2">
      <c r="B70" s="154" t="s">
        <v>292</v>
      </c>
      <c r="C70" s="155"/>
      <c r="D70" s="108" t="s">
        <v>269</v>
      </c>
      <c r="E70" s="108" t="s">
        <v>109</v>
      </c>
      <c r="F70" s="108" t="s">
        <v>270</v>
      </c>
      <c r="G70" s="108" t="s">
        <v>304</v>
      </c>
      <c r="H70" s="108" t="s">
        <v>303</v>
      </c>
      <c r="I70" s="147" t="s">
        <v>269</v>
      </c>
      <c r="J70" s="147" t="s">
        <v>109</v>
      </c>
      <c r="K70" s="147" t="s">
        <v>267</v>
      </c>
      <c r="L70" s="147" t="s">
        <v>304</v>
      </c>
      <c r="M70" s="147" t="s">
        <v>303</v>
      </c>
      <c r="N70" s="101"/>
      <c r="O70" s="101"/>
      <c r="P70" s="101"/>
      <c r="Q70" s="101"/>
      <c r="R70" s="101"/>
      <c r="S70" s="101"/>
      <c r="T70" s="101"/>
      <c r="U70" s="101"/>
      <c r="V70" s="101"/>
      <c r="W70" s="101"/>
    </row>
    <row r="71" spans="1:23" s="123" customFormat="1" ht="40.15" customHeight="1" x14ac:dyDescent="0.2">
      <c r="B71" s="144" t="s">
        <v>262</v>
      </c>
      <c r="C71" s="150"/>
      <c r="D71" s="157">
        <f>((D64*$E$44)/1000)</f>
        <v>0</v>
      </c>
      <c r="E71" s="157">
        <f t="shared" ref="E71:M71" si="2">(E64*$E$44/1000)</f>
        <v>0</v>
      </c>
      <c r="F71" s="157">
        <f t="shared" si="2"/>
        <v>0</v>
      </c>
      <c r="G71" s="157">
        <f t="shared" si="2"/>
        <v>0</v>
      </c>
      <c r="H71" s="157">
        <f t="shared" si="2"/>
        <v>0</v>
      </c>
      <c r="I71" s="157">
        <f t="shared" si="2"/>
        <v>0</v>
      </c>
      <c r="J71" s="157">
        <f t="shared" si="2"/>
        <v>0</v>
      </c>
      <c r="K71" s="157">
        <f t="shared" si="2"/>
        <v>0</v>
      </c>
      <c r="L71" s="157">
        <f t="shared" si="2"/>
        <v>0</v>
      </c>
      <c r="M71" s="157">
        <f t="shared" si="2"/>
        <v>0</v>
      </c>
      <c r="N71" s="157"/>
      <c r="O71" s="157"/>
      <c r="P71" s="157"/>
      <c r="Q71" s="157"/>
      <c r="R71" s="157"/>
      <c r="S71" s="157"/>
      <c r="T71" s="157"/>
      <c r="U71" s="157"/>
      <c r="V71" s="157"/>
      <c r="W71" s="157"/>
    </row>
    <row r="72" spans="1:23" s="123" customFormat="1" ht="40.15" customHeight="1" x14ac:dyDescent="0.2">
      <c r="B72" s="144" t="s">
        <v>261</v>
      </c>
      <c r="C72" s="150"/>
      <c r="D72" s="157">
        <f t="shared" ref="D72:M72" si="3">(D65*$J$40/1000)</f>
        <v>0</v>
      </c>
      <c r="E72" s="157">
        <f t="shared" si="3"/>
        <v>0</v>
      </c>
      <c r="F72" s="157">
        <f t="shared" si="3"/>
        <v>0</v>
      </c>
      <c r="G72" s="157">
        <f t="shared" si="3"/>
        <v>0</v>
      </c>
      <c r="H72" s="157">
        <f t="shared" si="3"/>
        <v>0</v>
      </c>
      <c r="I72" s="157">
        <f t="shared" si="3"/>
        <v>0</v>
      </c>
      <c r="J72" s="157">
        <f t="shared" si="3"/>
        <v>0</v>
      </c>
      <c r="K72" s="157">
        <f t="shared" si="3"/>
        <v>0</v>
      </c>
      <c r="L72" s="157">
        <f t="shared" si="3"/>
        <v>0</v>
      </c>
      <c r="M72" s="157">
        <f t="shared" si="3"/>
        <v>0</v>
      </c>
      <c r="N72" s="157"/>
      <c r="O72" s="157"/>
      <c r="P72" s="157"/>
      <c r="Q72" s="157"/>
      <c r="R72" s="157"/>
      <c r="S72" s="157"/>
      <c r="T72" s="157"/>
      <c r="U72" s="157"/>
      <c r="V72" s="157"/>
      <c r="W72" s="157"/>
    </row>
    <row r="73" spans="1:23" s="123" customFormat="1" ht="40.15" customHeight="1" x14ac:dyDescent="0.2">
      <c r="A73" s="158"/>
      <c r="B73" s="144" t="s">
        <v>205</v>
      </c>
      <c r="C73" s="150"/>
      <c r="D73" s="157" t="e">
        <f t="shared" ref="D73:M73" si="4">(D66*$H$44/1000)</f>
        <v>#N/A</v>
      </c>
      <c r="E73" s="157" t="e">
        <f t="shared" si="4"/>
        <v>#N/A</v>
      </c>
      <c r="F73" s="157" t="e">
        <f t="shared" si="4"/>
        <v>#N/A</v>
      </c>
      <c r="G73" s="157" t="e">
        <f t="shared" si="4"/>
        <v>#N/A</v>
      </c>
      <c r="H73" s="157" t="e">
        <f t="shared" si="4"/>
        <v>#N/A</v>
      </c>
      <c r="I73" s="157" t="e">
        <f t="shared" si="4"/>
        <v>#N/A</v>
      </c>
      <c r="J73" s="157" t="e">
        <f t="shared" si="4"/>
        <v>#N/A</v>
      </c>
      <c r="K73" s="157" t="e">
        <f t="shared" si="4"/>
        <v>#N/A</v>
      </c>
      <c r="L73" s="157" t="e">
        <f t="shared" si="4"/>
        <v>#N/A</v>
      </c>
      <c r="M73" s="157" t="e">
        <f t="shared" si="4"/>
        <v>#N/A</v>
      </c>
      <c r="N73" s="157"/>
      <c r="O73" s="157"/>
      <c r="P73" s="157"/>
      <c r="Q73" s="157"/>
      <c r="R73" s="157"/>
      <c r="S73" s="157"/>
      <c r="T73" s="157"/>
      <c r="U73" s="157"/>
      <c r="V73" s="157"/>
      <c r="W73" s="157"/>
    </row>
    <row r="74" spans="1:23" s="123" customFormat="1" ht="40.15" customHeight="1" x14ac:dyDescent="0.2">
      <c r="B74" s="144" t="s">
        <v>154</v>
      </c>
      <c r="C74" s="150"/>
      <c r="D74" s="157">
        <f t="shared" ref="D74:M74" si="5">(D67*$H$46/1000)</f>
        <v>0</v>
      </c>
      <c r="E74" s="157">
        <f t="shared" si="5"/>
        <v>0</v>
      </c>
      <c r="F74" s="157">
        <f t="shared" si="5"/>
        <v>0</v>
      </c>
      <c r="G74" s="157">
        <f t="shared" si="5"/>
        <v>0</v>
      </c>
      <c r="H74" s="157">
        <f t="shared" si="5"/>
        <v>0</v>
      </c>
      <c r="I74" s="157">
        <f t="shared" si="5"/>
        <v>0</v>
      </c>
      <c r="J74" s="157">
        <f t="shared" si="5"/>
        <v>0</v>
      </c>
      <c r="K74" s="157">
        <f t="shared" si="5"/>
        <v>0</v>
      </c>
      <c r="L74" s="157">
        <f t="shared" si="5"/>
        <v>0</v>
      </c>
      <c r="M74" s="157">
        <f t="shared" si="5"/>
        <v>0</v>
      </c>
      <c r="N74" s="157"/>
      <c r="O74" s="157"/>
      <c r="P74" s="157"/>
      <c r="Q74" s="157"/>
      <c r="R74" s="157"/>
      <c r="S74" s="157"/>
      <c r="T74" s="157"/>
      <c r="U74" s="157"/>
      <c r="V74" s="157"/>
      <c r="W74" s="157"/>
    </row>
    <row r="75" spans="1:23" s="123" customFormat="1" ht="40.15" customHeight="1" x14ac:dyDescent="0.2">
      <c r="B75" s="156" t="s">
        <v>307</v>
      </c>
      <c r="C75" s="150"/>
      <c r="D75" s="157">
        <f>(D68*$H$47/1000)</f>
        <v>0</v>
      </c>
      <c r="E75" s="157">
        <f>(E68*$H$47/1000)</f>
        <v>0</v>
      </c>
      <c r="F75" s="157">
        <f t="shared" ref="F75" si="6">(F68*$H$47/1000)</f>
        <v>0</v>
      </c>
      <c r="G75" s="157">
        <f t="shared" ref="G75:M75" si="7">(G68*$H$47/1000)</f>
        <v>0</v>
      </c>
      <c r="H75" s="157">
        <f t="shared" si="7"/>
        <v>0</v>
      </c>
      <c r="I75" s="157">
        <f t="shared" si="7"/>
        <v>0</v>
      </c>
      <c r="J75" s="157">
        <f t="shared" si="7"/>
        <v>0</v>
      </c>
      <c r="K75" s="157">
        <f t="shared" si="7"/>
        <v>0</v>
      </c>
      <c r="L75" s="157">
        <f t="shared" si="7"/>
        <v>0</v>
      </c>
      <c r="M75" s="157">
        <f t="shared" si="7"/>
        <v>0</v>
      </c>
      <c r="N75" s="157"/>
      <c r="O75" s="157"/>
      <c r="P75" s="157"/>
      <c r="Q75" s="157"/>
      <c r="R75" s="157"/>
      <c r="S75" s="157"/>
      <c r="T75" s="157"/>
      <c r="U75" s="157"/>
      <c r="V75" s="157"/>
      <c r="W75" s="157"/>
    </row>
    <row r="76" spans="1:23" ht="40.15" customHeight="1" x14ac:dyDescent="0.25">
      <c r="B76" s="250" t="s">
        <v>5</v>
      </c>
      <c r="C76" s="173"/>
      <c r="D76" s="456" t="e">
        <f>SUM(D71:D75)</f>
        <v>#N/A</v>
      </c>
      <c r="E76" s="456" t="e">
        <f t="shared" ref="E76:L76" si="8">SUM(E71:E75)</f>
        <v>#N/A</v>
      </c>
      <c r="F76" s="456" t="e">
        <f t="shared" si="8"/>
        <v>#N/A</v>
      </c>
      <c r="G76" s="456" t="e">
        <f>SUM(G71:G75)</f>
        <v>#N/A</v>
      </c>
      <c r="H76" s="456" t="e">
        <f>SUM(H71:H75)</f>
        <v>#N/A</v>
      </c>
      <c r="I76" s="455" t="e">
        <f>SUM(I71:I75)</f>
        <v>#N/A</v>
      </c>
      <c r="J76" s="455" t="e">
        <f>SUM(J71:J75)</f>
        <v>#N/A</v>
      </c>
      <c r="K76" s="455" t="e">
        <f>SUM(K71:K75)</f>
        <v>#N/A</v>
      </c>
      <c r="L76" s="455" t="e">
        <f t="shared" si="8"/>
        <v>#N/A</v>
      </c>
      <c r="M76" s="455" t="e">
        <f>SUM(M71:M75)</f>
        <v>#N/A</v>
      </c>
      <c r="N76" s="189"/>
      <c r="O76" s="189"/>
      <c r="P76" s="189"/>
      <c r="Q76" s="189"/>
      <c r="R76" s="189"/>
      <c r="S76" s="189"/>
      <c r="T76" s="189"/>
      <c r="U76" s="189"/>
      <c r="V76" s="189"/>
      <c r="W76" s="189"/>
    </row>
    <row r="77" spans="1:23" ht="40.15" customHeight="1" x14ac:dyDescent="0.25">
      <c r="B77" s="3"/>
      <c r="C77" s="3"/>
      <c r="D77" s="189"/>
      <c r="E77" s="189"/>
      <c r="F77" s="268" t="s">
        <v>877</v>
      </c>
      <c r="G77" s="269" t="e">
        <f>SUM(D76:H76)</f>
        <v>#N/A</v>
      </c>
      <c r="H77" s="124"/>
      <c r="I77" s="189"/>
      <c r="J77" s="189"/>
      <c r="K77" s="189"/>
      <c r="L77" s="268" t="s">
        <v>878</v>
      </c>
      <c r="M77" s="269" t="e">
        <f>SUM(I76:M76)</f>
        <v>#N/A</v>
      </c>
      <c r="N77" s="189"/>
      <c r="O77" s="189"/>
      <c r="P77" s="360"/>
      <c r="Q77" s="361"/>
      <c r="R77" s="124"/>
      <c r="S77" s="189"/>
      <c r="T77" s="189"/>
      <c r="U77" s="189"/>
      <c r="V77" s="360"/>
      <c r="W77" s="361"/>
    </row>
    <row r="78" spans="1:23" ht="40.15" customHeight="1" x14ac:dyDescent="0.25">
      <c r="B78" s="3"/>
      <c r="C78" s="3"/>
      <c r="D78" s="189"/>
      <c r="E78" s="189"/>
      <c r="F78" s="189"/>
      <c r="G78" s="189"/>
      <c r="H78" s="124"/>
      <c r="I78" s="189"/>
      <c r="J78" s="189"/>
      <c r="K78" s="189"/>
      <c r="L78" s="189"/>
      <c r="M78" s="189"/>
    </row>
    <row r="79" spans="1:23" ht="40.15" customHeight="1" x14ac:dyDescent="0.25">
      <c r="B79" s="3"/>
      <c r="C79" s="3"/>
      <c r="D79" s="189"/>
      <c r="E79" s="189"/>
      <c r="F79" s="189"/>
      <c r="G79" s="189"/>
      <c r="H79" s="124"/>
      <c r="I79" s="189"/>
      <c r="J79" s="189"/>
      <c r="K79" s="189"/>
      <c r="L79" s="189"/>
      <c r="M79" s="189"/>
    </row>
    <row r="80" spans="1:23" s="190" customFormat="1" ht="75" customHeight="1" x14ac:dyDescent="0.35">
      <c r="B80" s="193" t="s">
        <v>882</v>
      </c>
      <c r="C80" s="725" t="e">
        <f>G77+M77</f>
        <v>#N/A</v>
      </c>
      <c r="D80" s="191"/>
      <c r="E80" s="457"/>
      <c r="F80" s="517"/>
      <c r="G80" s="191"/>
      <c r="H80" s="192"/>
      <c r="I80" s="191"/>
      <c r="J80" s="191"/>
      <c r="K80" s="191"/>
      <c r="L80" s="191"/>
      <c r="M80" s="191"/>
      <c r="N80" s="192"/>
      <c r="O80" s="192"/>
    </row>
    <row r="81" spans="2:15" s="194" customFormat="1" ht="75" customHeight="1" x14ac:dyDescent="0.35">
      <c r="B81" s="195"/>
      <c r="C81" s="196"/>
      <c r="D81" s="196"/>
      <c r="E81" s="196"/>
      <c r="F81" s="196"/>
      <c r="G81" s="196"/>
      <c r="H81" s="197"/>
      <c r="I81" s="196"/>
      <c r="J81" s="196"/>
      <c r="K81" s="196"/>
      <c r="L81" s="196"/>
      <c r="M81" s="196"/>
      <c r="N81" s="197"/>
      <c r="O81" s="197"/>
    </row>
    <row r="82" spans="2:15" s="198" customFormat="1" ht="40.15" customHeight="1" x14ac:dyDescent="0.25">
      <c r="B82" s="202" t="s">
        <v>881</v>
      </c>
      <c r="C82" s="199"/>
      <c r="D82" s="200"/>
      <c r="E82" s="200"/>
      <c r="F82" s="200"/>
      <c r="G82" s="200"/>
      <c r="H82" s="201"/>
      <c r="I82" s="200"/>
      <c r="J82" s="200"/>
      <c r="K82" s="200"/>
      <c r="L82" s="200"/>
      <c r="M82" s="200"/>
      <c r="N82" s="201"/>
      <c r="O82" s="201"/>
    </row>
    <row r="83" spans="2:15" ht="40.15" customHeight="1" x14ac:dyDescent="0.25">
      <c r="B83" s="3"/>
      <c r="C83" s="3"/>
      <c r="D83" s="189"/>
      <c r="E83" s="189"/>
      <c r="F83" s="189"/>
      <c r="G83" s="189"/>
      <c r="I83" s="189"/>
      <c r="J83" s="189"/>
      <c r="K83" s="189"/>
      <c r="L83" s="189"/>
      <c r="M83" s="189"/>
    </row>
    <row r="84" spans="2:15" ht="19.899999999999999" customHeight="1" x14ac:dyDescent="0.25">
      <c r="B84" s="176" t="s">
        <v>252</v>
      </c>
      <c r="C84" s="175"/>
      <c r="D84" s="177"/>
      <c r="E84" s="177"/>
      <c r="F84" s="177"/>
      <c r="G84" s="177"/>
      <c r="H84" s="177"/>
      <c r="I84" s="177"/>
      <c r="J84" s="177"/>
      <c r="K84" s="189"/>
      <c r="L84" s="189"/>
      <c r="M84" s="189"/>
    </row>
    <row r="85" spans="2:15" ht="19.899999999999999" customHeight="1" x14ac:dyDescent="0.25">
      <c r="B85" s="176"/>
      <c r="C85" s="175"/>
      <c r="D85" s="177"/>
      <c r="E85" s="177"/>
      <c r="F85" s="177"/>
      <c r="G85" s="177"/>
      <c r="H85" s="177"/>
      <c r="I85" s="177"/>
      <c r="J85" s="177"/>
      <c r="K85" s="189"/>
      <c r="L85" s="189"/>
      <c r="M85" s="189"/>
    </row>
    <row r="86" spans="2:15" ht="19.899999999999999" customHeight="1" x14ac:dyDescent="0.25">
      <c r="B86" s="120" t="s">
        <v>253</v>
      </c>
      <c r="C86" s="179" t="s">
        <v>77</v>
      </c>
      <c r="D86" s="122" t="s">
        <v>879</v>
      </c>
      <c r="E86" s="122" t="s">
        <v>256</v>
      </c>
      <c r="F86" s="177"/>
      <c r="G86" s="120" t="s">
        <v>258</v>
      </c>
      <c r="H86" s="179" t="s">
        <v>77</v>
      </c>
      <c r="I86" s="122" t="s">
        <v>880</v>
      </c>
      <c r="J86" s="122" t="s">
        <v>256</v>
      </c>
      <c r="K86" s="189"/>
      <c r="L86" s="189"/>
      <c r="M86" s="189"/>
    </row>
    <row r="87" spans="2:15" ht="19.899999999999999" customHeight="1" x14ac:dyDescent="0.25">
      <c r="B87" s="176" t="s">
        <v>125</v>
      </c>
      <c r="C87" s="178">
        <v>0.55000000000000004</v>
      </c>
      <c r="D87" s="180">
        <f>'Fatores de Emissão'!I99</f>
        <v>3.0562499999999999E-2</v>
      </c>
      <c r="E87" s="181">
        <f t="shared" ref="E87:E92" si="9">C87*D87</f>
        <v>1.6809375000000001E-2</v>
      </c>
      <c r="F87" s="177"/>
      <c r="G87" s="176" t="s">
        <v>125</v>
      </c>
      <c r="H87" s="178">
        <v>0.84</v>
      </c>
      <c r="I87" s="177">
        <f>'Fatores de Emissão'!I63</f>
        <v>6.4276816608996538E-3</v>
      </c>
      <c r="J87" s="181">
        <f>H87*I87</f>
        <v>5.3992525951557088E-3</v>
      </c>
      <c r="K87" s="189"/>
      <c r="L87" s="189"/>
      <c r="M87" s="189"/>
    </row>
    <row r="88" spans="2:15" ht="19.899999999999999" customHeight="1" x14ac:dyDescent="0.25">
      <c r="B88" s="176" t="s">
        <v>227</v>
      </c>
      <c r="C88" s="178">
        <v>0.38</v>
      </c>
      <c r="D88" s="180">
        <f>'Fatores de Emissão'!I93</f>
        <v>3.0562499999999999E-2</v>
      </c>
      <c r="E88" s="181">
        <f t="shared" si="9"/>
        <v>1.1613749999999999E-2</v>
      </c>
      <c r="F88" s="177"/>
      <c r="G88" s="176" t="s">
        <v>89</v>
      </c>
      <c r="H88" s="178">
        <v>0.16</v>
      </c>
      <c r="I88" s="177">
        <f>'Fatores de Emissão'!I68</f>
        <v>6.2449826989619374E-3</v>
      </c>
      <c r="J88" s="181">
        <f>H88*I88</f>
        <v>9.9919723183390999E-4</v>
      </c>
      <c r="K88" s="189"/>
      <c r="L88" s="189"/>
      <c r="M88" s="189"/>
    </row>
    <row r="89" spans="2:15" ht="19.899999999999999" customHeight="1" x14ac:dyDescent="0.25">
      <c r="B89" s="176" t="s">
        <v>230</v>
      </c>
      <c r="C89" s="178">
        <v>0.01</v>
      </c>
      <c r="D89" s="180">
        <f>'Fatores de Emissão'!I102</f>
        <v>3.0562499999999999E-2</v>
      </c>
      <c r="E89" s="181">
        <f t="shared" si="9"/>
        <v>3.0562500000000002E-4</v>
      </c>
      <c r="F89" s="177"/>
      <c r="G89" s="182" t="s">
        <v>246</v>
      </c>
      <c r="H89" s="183"/>
      <c r="I89" s="184"/>
      <c r="J89" s="185">
        <f>SUM(J83:J88)</f>
        <v>6.3984498269896188E-3</v>
      </c>
      <c r="K89" s="189"/>
      <c r="L89" s="189"/>
      <c r="M89" s="189"/>
    </row>
    <row r="90" spans="2:15" ht="19.899999999999999" customHeight="1" x14ac:dyDescent="0.25">
      <c r="B90" s="176" t="s">
        <v>255</v>
      </c>
      <c r="C90" s="178">
        <v>0.02</v>
      </c>
      <c r="D90" s="180">
        <f>'Fatores de Emissão'!G9</f>
        <v>8.712499999999998E-2</v>
      </c>
      <c r="E90" s="181">
        <f t="shared" si="9"/>
        <v>1.7424999999999997E-3</v>
      </c>
      <c r="F90" s="177"/>
      <c r="G90" s="177"/>
      <c r="H90" s="177"/>
      <c r="I90" s="177"/>
      <c r="J90" s="177"/>
      <c r="K90" s="189"/>
      <c r="L90" s="189"/>
      <c r="M90" s="189"/>
    </row>
    <row r="91" spans="2:15" ht="19.899999999999999" customHeight="1" x14ac:dyDescent="0.25">
      <c r="B91" s="176" t="s">
        <v>254</v>
      </c>
      <c r="C91" s="178">
        <v>0.02</v>
      </c>
      <c r="D91" s="180">
        <f>'Fatores de Emissão'!I96</f>
        <v>3.0562499999999999E-2</v>
      </c>
      <c r="E91" s="181">
        <f t="shared" si="9"/>
        <v>6.1125000000000003E-4</v>
      </c>
      <c r="F91" s="177"/>
      <c r="G91" s="177"/>
      <c r="H91" s="177"/>
      <c r="I91" s="177"/>
      <c r="J91" s="177"/>
      <c r="K91" s="189"/>
      <c r="L91" s="189"/>
      <c r="M91" s="189"/>
    </row>
    <row r="92" spans="2:15" ht="19.899999999999999" customHeight="1" x14ac:dyDescent="0.25">
      <c r="B92" s="176" t="s">
        <v>260</v>
      </c>
      <c r="C92" s="178">
        <v>0.02</v>
      </c>
      <c r="D92" s="180">
        <f>'Fatores de Emissão'!G10</f>
        <v>4.5937499999999992E-2</v>
      </c>
      <c r="E92" s="181">
        <f t="shared" si="9"/>
        <v>9.1874999999999986E-4</v>
      </c>
      <c r="F92" s="177"/>
      <c r="G92" s="188" t="s">
        <v>263</v>
      </c>
      <c r="H92" s="186" t="s">
        <v>9</v>
      </c>
      <c r="I92" s="177"/>
      <c r="J92" s="177"/>
      <c r="K92" s="189"/>
      <c r="L92" s="189"/>
      <c r="M92" s="189"/>
    </row>
    <row r="93" spans="2:15" ht="19.899999999999999" customHeight="1" x14ac:dyDescent="0.25">
      <c r="B93" s="182" t="s">
        <v>246</v>
      </c>
      <c r="C93" s="183"/>
      <c r="D93" s="184"/>
      <c r="E93" s="185">
        <f>SUM(E87:E92)</f>
        <v>3.2001250000000002E-2</v>
      </c>
      <c r="F93" s="177"/>
      <c r="G93" s="187" t="s">
        <v>275</v>
      </c>
      <c r="H93" s="177">
        <f>'Fatores de Emissão'!G50</f>
        <v>2E-3</v>
      </c>
      <c r="I93" s="177"/>
      <c r="J93" s="177"/>
      <c r="K93" s="189"/>
      <c r="L93" s="189"/>
      <c r="M93" s="189"/>
    </row>
    <row r="94" spans="2:15" ht="19.899999999999999" customHeight="1" x14ac:dyDescent="0.25">
      <c r="B94" s="175"/>
      <c r="C94" s="175"/>
      <c r="D94" s="177"/>
      <c r="E94" s="177"/>
      <c r="F94" s="177"/>
      <c r="G94" s="204"/>
      <c r="H94" s="270"/>
      <c r="I94" s="177"/>
      <c r="J94" s="177"/>
      <c r="K94" s="189"/>
      <c r="L94" s="189"/>
      <c r="M94" s="189"/>
    </row>
    <row r="95" spans="2:15" ht="19.899999999999999" customHeight="1" x14ac:dyDescent="0.25">
      <c r="B95" s="175"/>
      <c r="C95" s="175"/>
      <c r="D95" s="177"/>
      <c r="E95" s="177"/>
      <c r="F95" s="177"/>
      <c r="G95" s="187" t="s">
        <v>154</v>
      </c>
      <c r="H95" s="177">
        <f>'Fatores de Emissão'!G47</f>
        <v>2E-3</v>
      </c>
      <c r="I95" s="177"/>
      <c r="J95" s="177"/>
      <c r="K95" s="189"/>
      <c r="L95" s="189"/>
      <c r="M95" s="189"/>
    </row>
    <row r="96" spans="2:15" ht="19.899999999999999" customHeight="1" x14ac:dyDescent="0.25">
      <c r="B96" s="175"/>
      <c r="C96" s="175"/>
      <c r="D96" s="177"/>
      <c r="E96" s="177"/>
      <c r="F96" s="177"/>
      <c r="G96" s="187" t="s">
        <v>110</v>
      </c>
      <c r="H96" s="177">
        <v>0</v>
      </c>
      <c r="I96" s="177"/>
      <c r="J96" s="177"/>
      <c r="K96" s="189"/>
      <c r="L96" s="189"/>
      <c r="M96" s="189"/>
    </row>
    <row r="97" spans="1:23" ht="19.899999999999999" customHeight="1" x14ac:dyDescent="0.25">
      <c r="B97" s="175"/>
      <c r="C97" s="175"/>
      <c r="D97" s="177"/>
      <c r="E97" s="177"/>
      <c r="F97" s="177"/>
      <c r="G97" s="187" t="s">
        <v>266</v>
      </c>
      <c r="H97" s="177">
        <f>'Fatores de Emissão'!C54</f>
        <v>2.3E-2</v>
      </c>
      <c r="I97" s="177"/>
      <c r="J97" s="177"/>
      <c r="K97" s="189"/>
      <c r="L97" s="189"/>
      <c r="M97" s="189"/>
    </row>
    <row r="98" spans="1:23" ht="19.899999999999999" customHeight="1" x14ac:dyDescent="0.25">
      <c r="B98" s="175"/>
      <c r="C98" s="175"/>
      <c r="D98" s="177"/>
      <c r="E98" s="177"/>
      <c r="F98" s="177"/>
      <c r="G98" s="187" t="s">
        <v>109</v>
      </c>
      <c r="H98" s="177">
        <f>'Fatores de Emissão'!G14</f>
        <v>3.6999999999999998E-2</v>
      </c>
      <c r="I98" s="177"/>
      <c r="J98" s="177"/>
      <c r="K98" s="189"/>
      <c r="L98" s="189"/>
      <c r="M98" s="189"/>
    </row>
    <row r="99" spans="1:23" ht="19.899999999999999" customHeight="1" x14ac:dyDescent="0.25">
      <c r="B99" s="175"/>
      <c r="C99" s="175"/>
      <c r="D99" s="177"/>
      <c r="E99" s="177"/>
      <c r="F99" s="177"/>
      <c r="G99" s="187" t="s">
        <v>267</v>
      </c>
      <c r="H99" s="177">
        <f>'Fatores de Emissão'!G13</f>
        <v>0.01</v>
      </c>
      <c r="I99" s="177"/>
      <c r="J99" s="177"/>
      <c r="K99" s="189"/>
      <c r="L99" s="189"/>
      <c r="M99" s="189"/>
    </row>
    <row r="100" spans="1:23" ht="19.899999999999999" customHeight="1" x14ac:dyDescent="0.25">
      <c r="B100" s="175"/>
      <c r="C100" s="175"/>
      <c r="D100" s="177"/>
      <c r="E100" s="177"/>
      <c r="F100" s="177"/>
      <c r="G100" s="187" t="s">
        <v>304</v>
      </c>
      <c r="H100" s="177">
        <f>'Fatores de Emissão'!G11</f>
        <v>0.94353999999999993</v>
      </c>
      <c r="I100" s="177"/>
      <c r="J100" s="177"/>
      <c r="K100" s="189"/>
      <c r="L100" s="189"/>
      <c r="M100" s="189"/>
    </row>
    <row r="101" spans="1:23" ht="40.15" customHeight="1" x14ac:dyDescent="0.25">
      <c r="B101" s="3"/>
      <c r="C101" s="3"/>
      <c r="D101" s="189"/>
      <c r="E101" s="189"/>
      <c r="F101" s="189"/>
      <c r="G101" s="187" t="s">
        <v>303</v>
      </c>
      <c r="H101" s="1">
        <f>'Fatores de Emissão'!G12</f>
        <v>2.5999999999999999E-2</v>
      </c>
      <c r="I101" s="189"/>
      <c r="J101" s="189"/>
      <c r="K101" s="189"/>
      <c r="L101" s="189"/>
      <c r="M101" s="189"/>
    </row>
    <row r="102" spans="1:23" ht="30" customHeight="1" x14ac:dyDescent="0.25">
      <c r="B102" s="176"/>
      <c r="C102" s="175"/>
      <c r="D102" s="177"/>
      <c r="E102" s="177"/>
      <c r="F102" s="177"/>
      <c r="G102" s="175"/>
      <c r="H102" s="175"/>
      <c r="I102" s="177"/>
      <c r="J102" s="177"/>
      <c r="K102" s="177"/>
      <c r="L102" s="177"/>
      <c r="M102" s="177"/>
    </row>
    <row r="103" spans="1:23" ht="30" customHeight="1" x14ac:dyDescent="0.4">
      <c r="B103" s="123"/>
      <c r="C103" s="123"/>
      <c r="D103" s="124"/>
      <c r="E103" s="124"/>
      <c r="F103" s="458" t="s">
        <v>875</v>
      </c>
      <c r="G103" s="124"/>
      <c r="H103" s="124"/>
      <c r="I103" s="124"/>
      <c r="J103" s="458" t="s">
        <v>876</v>
      </c>
      <c r="K103" s="124"/>
      <c r="L103" s="124"/>
      <c r="M103" s="124"/>
      <c r="P103" s="458"/>
      <c r="Q103" s="124"/>
      <c r="R103" s="124"/>
      <c r="S103" s="124"/>
      <c r="T103" s="458"/>
      <c r="U103" s="124"/>
    </row>
    <row r="104" spans="1:23" ht="49.9" customHeight="1" x14ac:dyDescent="0.25">
      <c r="A104" s="123"/>
      <c r="B104" s="154" t="s">
        <v>292</v>
      </c>
      <c r="C104" s="155"/>
      <c r="D104" s="108" t="s">
        <v>269</v>
      </c>
      <c r="E104" s="108" t="s">
        <v>109</v>
      </c>
      <c r="F104" s="108" t="s">
        <v>270</v>
      </c>
      <c r="G104" s="108" t="s">
        <v>304</v>
      </c>
      <c r="H104" s="108" t="s">
        <v>303</v>
      </c>
      <c r="I104" s="147" t="s">
        <v>269</v>
      </c>
      <c r="J104" s="147" t="s">
        <v>109</v>
      </c>
      <c r="K104" s="147" t="s">
        <v>267</v>
      </c>
      <c r="L104" s="147" t="s">
        <v>304</v>
      </c>
      <c r="M104" s="147" t="s">
        <v>303</v>
      </c>
      <c r="N104" s="348"/>
      <c r="O104" s="348"/>
      <c r="P104" s="348"/>
      <c r="Q104" s="348"/>
      <c r="R104" s="348"/>
      <c r="S104" s="348"/>
      <c r="T104" s="348"/>
      <c r="U104" s="348"/>
      <c r="V104" s="348"/>
      <c r="W104" s="348"/>
    </row>
    <row r="105" spans="1:23" ht="49.9" customHeight="1" x14ac:dyDescent="0.25">
      <c r="A105" s="123"/>
      <c r="B105" s="144" t="s">
        <v>262</v>
      </c>
      <c r="C105" s="150"/>
      <c r="D105" s="157">
        <f t="shared" ref="D105:M105" si="10">(D64*$E$93/1000)</f>
        <v>0</v>
      </c>
      <c r="E105" s="157">
        <f t="shared" si="10"/>
        <v>0</v>
      </c>
      <c r="F105" s="157">
        <f t="shared" si="10"/>
        <v>0</v>
      </c>
      <c r="G105" s="157">
        <f t="shared" si="10"/>
        <v>0</v>
      </c>
      <c r="H105" s="157">
        <f t="shared" si="10"/>
        <v>0</v>
      </c>
      <c r="I105" s="157">
        <f t="shared" si="10"/>
        <v>0</v>
      </c>
      <c r="J105" s="157">
        <f t="shared" si="10"/>
        <v>0</v>
      </c>
      <c r="K105" s="157">
        <f t="shared" si="10"/>
        <v>0</v>
      </c>
      <c r="L105" s="157">
        <f t="shared" si="10"/>
        <v>0</v>
      </c>
      <c r="M105" s="157">
        <f t="shared" si="10"/>
        <v>0</v>
      </c>
      <c r="N105" s="157"/>
      <c r="O105" s="157"/>
      <c r="P105" s="157"/>
      <c r="Q105" s="157"/>
      <c r="R105" s="157"/>
      <c r="S105" s="726"/>
      <c r="T105" s="726"/>
      <c r="U105" s="726"/>
      <c r="V105" s="726"/>
      <c r="W105" s="726"/>
    </row>
    <row r="106" spans="1:23" ht="49.9" customHeight="1" x14ac:dyDescent="0.25">
      <c r="A106" s="123"/>
      <c r="B106" s="144" t="s">
        <v>261</v>
      </c>
      <c r="C106" s="150"/>
      <c r="D106" s="157">
        <f t="shared" ref="D106:M106" si="11">(D65*$J$89/1000)</f>
        <v>0</v>
      </c>
      <c r="E106" s="157">
        <f t="shared" si="11"/>
        <v>0</v>
      </c>
      <c r="F106" s="157">
        <f t="shared" si="11"/>
        <v>0</v>
      </c>
      <c r="G106" s="157">
        <f t="shared" si="11"/>
        <v>0</v>
      </c>
      <c r="H106" s="157">
        <f t="shared" si="11"/>
        <v>0</v>
      </c>
      <c r="I106" s="157">
        <f t="shared" si="11"/>
        <v>0</v>
      </c>
      <c r="J106" s="157">
        <f t="shared" si="11"/>
        <v>0</v>
      </c>
      <c r="K106" s="157">
        <f t="shared" si="11"/>
        <v>0</v>
      </c>
      <c r="L106" s="157">
        <f t="shared" si="11"/>
        <v>0</v>
      </c>
      <c r="M106" s="157">
        <f t="shared" si="11"/>
        <v>0</v>
      </c>
      <c r="N106" s="157"/>
      <c r="O106" s="157"/>
      <c r="P106" s="157"/>
      <c r="Q106" s="157"/>
      <c r="R106" s="157"/>
      <c r="S106" s="726"/>
      <c r="T106" s="726"/>
      <c r="U106" s="726"/>
      <c r="V106" s="726"/>
      <c r="W106" s="726"/>
    </row>
    <row r="107" spans="1:23" ht="49.9" customHeight="1" x14ac:dyDescent="0.25">
      <c r="A107" s="158"/>
      <c r="B107" s="144" t="s">
        <v>205</v>
      </c>
      <c r="C107" s="150"/>
      <c r="D107" s="157">
        <f t="shared" ref="D107:M107" si="12">(D66*$H$93/1000)</f>
        <v>0</v>
      </c>
      <c r="E107" s="157">
        <f t="shared" si="12"/>
        <v>0</v>
      </c>
      <c r="F107" s="157">
        <f t="shared" si="12"/>
        <v>0</v>
      </c>
      <c r="G107" s="157">
        <f t="shared" si="12"/>
        <v>0</v>
      </c>
      <c r="H107" s="157">
        <f t="shared" si="12"/>
        <v>0</v>
      </c>
      <c r="I107" s="157">
        <f t="shared" si="12"/>
        <v>0</v>
      </c>
      <c r="J107" s="157">
        <f t="shared" si="12"/>
        <v>0</v>
      </c>
      <c r="K107" s="157">
        <f t="shared" si="12"/>
        <v>0</v>
      </c>
      <c r="L107" s="157">
        <f t="shared" si="12"/>
        <v>0</v>
      </c>
      <c r="M107" s="157">
        <f t="shared" si="12"/>
        <v>0</v>
      </c>
      <c r="N107" s="157"/>
      <c r="O107" s="157"/>
      <c r="P107" s="157"/>
      <c r="Q107" s="157"/>
      <c r="R107" s="157"/>
      <c r="S107" s="726"/>
      <c r="T107" s="726"/>
      <c r="U107" s="726"/>
      <c r="V107" s="726"/>
      <c r="W107" s="726"/>
    </row>
    <row r="108" spans="1:23" ht="49.9" customHeight="1" x14ac:dyDescent="0.25">
      <c r="A108" s="123"/>
      <c r="B108" s="144" t="s">
        <v>154</v>
      </c>
      <c r="C108" s="150"/>
      <c r="D108" s="157">
        <f t="shared" ref="D108" si="13">(D67*$H$95/1000)</f>
        <v>0</v>
      </c>
      <c r="E108" s="157">
        <f t="shared" ref="E108:M108" si="14">(E67*$H$95/1000)</f>
        <v>0</v>
      </c>
      <c r="F108" s="157">
        <f t="shared" si="14"/>
        <v>0</v>
      </c>
      <c r="G108" s="157">
        <f t="shared" si="14"/>
        <v>0</v>
      </c>
      <c r="H108" s="157">
        <f t="shared" si="14"/>
        <v>0</v>
      </c>
      <c r="I108" s="157">
        <f t="shared" si="14"/>
        <v>0</v>
      </c>
      <c r="J108" s="157">
        <f t="shared" si="14"/>
        <v>0</v>
      </c>
      <c r="K108" s="157">
        <f t="shared" si="14"/>
        <v>0</v>
      </c>
      <c r="L108" s="157">
        <f t="shared" si="14"/>
        <v>0</v>
      </c>
      <c r="M108" s="157">
        <f t="shared" si="14"/>
        <v>0</v>
      </c>
      <c r="N108" s="157"/>
      <c r="O108" s="157"/>
      <c r="P108" s="157"/>
      <c r="Q108" s="157"/>
      <c r="R108" s="157"/>
      <c r="S108" s="726"/>
      <c r="T108" s="726"/>
      <c r="U108" s="726"/>
      <c r="V108" s="726"/>
      <c r="W108" s="726"/>
    </row>
    <row r="109" spans="1:23" ht="40.9" customHeight="1" x14ac:dyDescent="0.25">
      <c r="A109" s="123"/>
      <c r="B109" s="156" t="s">
        <v>307</v>
      </c>
      <c r="C109" s="150"/>
      <c r="D109" s="157">
        <f t="shared" ref="D109:M109" si="15">(D68*$H$96/1000)</f>
        <v>0</v>
      </c>
      <c r="E109" s="157">
        <f t="shared" si="15"/>
        <v>0</v>
      </c>
      <c r="F109" s="157">
        <f t="shared" si="15"/>
        <v>0</v>
      </c>
      <c r="G109" s="157">
        <f t="shared" si="15"/>
        <v>0</v>
      </c>
      <c r="H109" s="157">
        <f t="shared" si="15"/>
        <v>0</v>
      </c>
      <c r="I109" s="157">
        <f t="shared" si="15"/>
        <v>0</v>
      </c>
      <c r="J109" s="157">
        <f t="shared" si="15"/>
        <v>0</v>
      </c>
      <c r="K109" s="157">
        <f t="shared" si="15"/>
        <v>0</v>
      </c>
      <c r="L109" s="157">
        <f t="shared" si="15"/>
        <v>0</v>
      </c>
      <c r="M109" s="157">
        <f t="shared" si="15"/>
        <v>0</v>
      </c>
      <c r="N109" s="157"/>
      <c r="O109" s="157"/>
      <c r="P109" s="157"/>
      <c r="Q109" s="157"/>
      <c r="R109" s="157"/>
      <c r="S109" s="726"/>
      <c r="T109" s="726"/>
      <c r="U109" s="726"/>
      <c r="V109" s="726"/>
      <c r="W109" s="726"/>
    </row>
    <row r="110" spans="1:23" ht="49.9" customHeight="1" x14ac:dyDescent="0.25">
      <c r="B110" s="250" t="s">
        <v>5</v>
      </c>
      <c r="C110" s="173"/>
      <c r="D110" s="174">
        <f t="shared" ref="D110:F110" si="16">SUM(D105:D109)</f>
        <v>0</v>
      </c>
      <c r="E110" s="174">
        <f t="shared" si="16"/>
        <v>0</v>
      </c>
      <c r="F110" s="174">
        <f t="shared" si="16"/>
        <v>0</v>
      </c>
      <c r="G110" s="174">
        <f t="shared" ref="G110:M110" si="17">SUM(G105:G109)</f>
        <v>0</v>
      </c>
      <c r="H110" s="174">
        <f t="shared" si="17"/>
        <v>0</v>
      </c>
      <c r="I110" s="174">
        <f t="shared" si="17"/>
        <v>0</v>
      </c>
      <c r="J110" s="174">
        <f t="shared" si="17"/>
        <v>0</v>
      </c>
      <c r="K110" s="174">
        <f t="shared" si="17"/>
        <v>0</v>
      </c>
      <c r="L110" s="174">
        <f t="shared" si="17"/>
        <v>0</v>
      </c>
      <c r="M110" s="174">
        <f t="shared" si="17"/>
        <v>0</v>
      </c>
      <c r="N110" s="189"/>
      <c r="O110" s="189"/>
      <c r="P110" s="189"/>
      <c r="Q110" s="189"/>
      <c r="R110" s="189"/>
      <c r="S110" s="189"/>
      <c r="T110" s="189"/>
      <c r="U110" s="189"/>
      <c r="V110" s="189"/>
      <c r="W110" s="189"/>
    </row>
    <row r="111" spans="1:23" ht="30" customHeight="1" x14ac:dyDescent="0.25">
      <c r="B111" s="3"/>
      <c r="C111" s="3"/>
      <c r="D111" s="189"/>
      <c r="E111" s="189"/>
      <c r="F111" s="268" t="s">
        <v>877</v>
      </c>
      <c r="G111" s="269">
        <f>SUM(D110:H110)</f>
        <v>0</v>
      </c>
      <c r="H111" s="124"/>
      <c r="I111" s="189"/>
      <c r="J111" s="189"/>
      <c r="K111" s="1487" t="s">
        <v>878</v>
      </c>
      <c r="L111" s="1487"/>
      <c r="M111" s="269">
        <f>SUM(I110:M110)</f>
        <v>0</v>
      </c>
      <c r="N111" s="189"/>
      <c r="O111" s="189"/>
      <c r="P111" s="360"/>
      <c r="Q111" s="727"/>
      <c r="R111" s="124"/>
      <c r="S111" s="189"/>
      <c r="T111" s="189"/>
      <c r="U111" s="189"/>
      <c r="V111" s="360"/>
      <c r="W111" s="728"/>
    </row>
    <row r="112" spans="1:23" ht="25.15" customHeight="1" x14ac:dyDescent="0.25"/>
    <row r="114" spans="2:13" ht="23.25" x14ac:dyDescent="0.25">
      <c r="B114" s="193" t="s">
        <v>883</v>
      </c>
      <c r="C114" s="725">
        <f>G111+M111</f>
        <v>0</v>
      </c>
      <c r="D114" s="191"/>
      <c r="E114" s="193"/>
      <c r="F114" s="191"/>
      <c r="G114" s="191"/>
      <c r="H114" s="192"/>
      <c r="I114" s="191"/>
      <c r="J114" s="191"/>
      <c r="K114" s="191"/>
      <c r="L114" s="191"/>
      <c r="M114" s="191"/>
    </row>
    <row r="116" spans="2:13" ht="46.5" x14ac:dyDescent="0.25">
      <c r="B116" s="193" t="s">
        <v>884</v>
      </c>
      <c r="C116" s="193" t="e">
        <f>C114+C80</f>
        <v>#N/A</v>
      </c>
    </row>
    <row r="119" spans="2:13" ht="23.25" x14ac:dyDescent="0.35">
      <c r="B119" s="729"/>
    </row>
    <row r="123" spans="2:13" ht="49.9" customHeight="1" x14ac:dyDescent="0.25">
      <c r="B123" s="533"/>
      <c r="C123" s="533"/>
      <c r="D123" s="533"/>
      <c r="E123" s="533"/>
      <c r="G123" s="1407" t="s">
        <v>282</v>
      </c>
      <c r="H123" s="1407"/>
      <c r="I123" s="1407"/>
      <c r="J123" s="1407"/>
    </row>
    <row r="124" spans="2:13" ht="49.9" customHeight="1" x14ac:dyDescent="0.25">
      <c r="B124" s="223"/>
      <c r="C124" s="211"/>
      <c r="D124" s="211"/>
      <c r="E124" s="211"/>
      <c r="G124" s="227" t="s">
        <v>212</v>
      </c>
      <c r="H124" s="228" t="s">
        <v>3</v>
      </c>
      <c r="I124" s="228" t="s">
        <v>756</v>
      </c>
      <c r="J124" s="228" t="s">
        <v>757</v>
      </c>
    </row>
    <row r="125" spans="2:13" ht="49.9" customHeight="1" x14ac:dyDescent="0.25">
      <c r="B125" s="291"/>
      <c r="C125" s="394"/>
      <c r="D125" s="503"/>
      <c r="E125" s="503"/>
      <c r="G125" s="304" t="s">
        <v>324</v>
      </c>
      <c r="H125" s="224"/>
      <c r="I125" s="230"/>
      <c r="J125" s="225"/>
    </row>
    <row r="126" spans="2:13" ht="49.9" customHeight="1" x14ac:dyDescent="0.25">
      <c r="B126" s="291"/>
      <c r="C126" s="394"/>
      <c r="D126" s="503"/>
      <c r="E126" s="503"/>
      <c r="G126" s="451" t="s">
        <v>467</v>
      </c>
      <c r="H126" s="330" t="s">
        <v>359</v>
      </c>
      <c r="I126" s="363" t="e">
        <f>I127-I128</f>
        <v>#N/A</v>
      </c>
      <c r="J126" s="364" t="e">
        <f>J127-J128</f>
        <v>#N/A</v>
      </c>
    </row>
    <row r="127" spans="2:13" ht="49.9" customHeight="1" x14ac:dyDescent="0.25">
      <c r="B127" s="291"/>
      <c r="C127" s="394"/>
      <c r="D127" s="650"/>
      <c r="E127" s="650"/>
      <c r="G127" s="452" t="s">
        <v>334</v>
      </c>
      <c r="H127" s="332" t="s">
        <v>359</v>
      </c>
      <c r="I127" s="449">
        <f>K13</f>
        <v>0</v>
      </c>
      <c r="J127" s="450">
        <f>N13</f>
        <v>0</v>
      </c>
    </row>
    <row r="128" spans="2:13" ht="49.9" customHeight="1" x14ac:dyDescent="0.25">
      <c r="B128" s="291"/>
      <c r="C128" s="394"/>
      <c r="D128" s="503"/>
      <c r="E128" s="730"/>
      <c r="G128" s="453" t="s">
        <v>468</v>
      </c>
      <c r="H128" s="334" t="s">
        <v>359</v>
      </c>
      <c r="I128" s="318" t="e">
        <f>D76+I76</f>
        <v>#N/A</v>
      </c>
      <c r="J128" s="319" t="e">
        <f>I128+(D110+I110)</f>
        <v>#N/A</v>
      </c>
    </row>
    <row r="129" spans="2:10" ht="49.9" customHeight="1" x14ac:dyDescent="0.25">
      <c r="B129" s="291"/>
      <c r="C129" s="394"/>
      <c r="D129" s="503"/>
      <c r="E129" s="730"/>
      <c r="G129" s="395" t="s">
        <v>320</v>
      </c>
      <c r="H129" s="246"/>
      <c r="I129" s="230"/>
      <c r="J129" s="225"/>
    </row>
    <row r="130" spans="2:10" ht="49.9" customHeight="1" x14ac:dyDescent="0.25">
      <c r="B130" s="291"/>
      <c r="C130" s="307"/>
      <c r="D130" s="653"/>
      <c r="E130" s="653"/>
      <c r="G130" s="451" t="s">
        <v>467</v>
      </c>
      <c r="H130" s="326" t="s">
        <v>353</v>
      </c>
      <c r="I130" s="363" t="e">
        <f>I131-I132</f>
        <v>#N/A</v>
      </c>
      <c r="J130" s="364" t="e">
        <f>J131-J132</f>
        <v>#N/A</v>
      </c>
    </row>
    <row r="131" spans="2:10" ht="49.9" customHeight="1" x14ac:dyDescent="0.25">
      <c r="B131" s="87"/>
      <c r="C131" s="88"/>
      <c r="D131" s="88"/>
      <c r="E131" s="88"/>
      <c r="G131" s="452" t="s">
        <v>334</v>
      </c>
      <c r="H131" s="327" t="s">
        <v>353</v>
      </c>
      <c r="I131" s="315">
        <f>K14</f>
        <v>0</v>
      </c>
      <c r="J131" s="324">
        <f>N14</f>
        <v>0</v>
      </c>
    </row>
    <row r="132" spans="2:10" ht="49.9" customHeight="1" x14ac:dyDescent="0.25">
      <c r="B132" s="486" t="s">
        <v>778</v>
      </c>
      <c r="C132" s="210"/>
      <c r="D132" s="210"/>
      <c r="E132" s="210"/>
      <c r="G132" s="453" t="s">
        <v>468</v>
      </c>
      <c r="H132" s="328" t="s">
        <v>353</v>
      </c>
      <c r="I132" s="318" t="e">
        <f>E76+J76</f>
        <v>#N/A</v>
      </c>
      <c r="J132" s="319" t="e">
        <f>I132+(E110+J110)</f>
        <v>#N/A</v>
      </c>
    </row>
    <row r="133" spans="2:10" ht="49.9" customHeight="1" x14ac:dyDescent="0.25">
      <c r="B133" s="231" t="s">
        <v>114</v>
      </c>
      <c r="C133" s="228" t="s">
        <v>3</v>
      </c>
      <c r="D133" s="228" t="s">
        <v>756</v>
      </c>
      <c r="E133" s="228" t="s">
        <v>757</v>
      </c>
      <c r="G133" s="395" t="s">
        <v>327</v>
      </c>
      <c r="H133" s="246"/>
      <c r="I133" s="230"/>
      <c r="J133" s="225"/>
    </row>
    <row r="134" spans="2:10" ht="49.9" customHeight="1" x14ac:dyDescent="0.25">
      <c r="B134" s="311" t="s">
        <v>488</v>
      </c>
      <c r="C134" s="312" t="s">
        <v>353</v>
      </c>
      <c r="D134" s="363" t="e">
        <f>D135-D136</f>
        <v>#N/A</v>
      </c>
      <c r="E134" s="364" t="e">
        <f>E135-E136</f>
        <v>#N/A</v>
      </c>
      <c r="G134" s="451" t="s">
        <v>467</v>
      </c>
      <c r="H134" s="326" t="s">
        <v>353</v>
      </c>
      <c r="I134" s="363" t="e">
        <f>I135-I136</f>
        <v>#N/A</v>
      </c>
      <c r="J134" s="363" t="e">
        <f>J135-J136</f>
        <v>#N/A</v>
      </c>
    </row>
    <row r="135" spans="2:10" ht="49.9" customHeight="1" x14ac:dyDescent="0.25">
      <c r="B135" s="313" t="s">
        <v>354</v>
      </c>
      <c r="C135" s="314" t="s">
        <v>353</v>
      </c>
      <c r="D135" s="315">
        <f>K20</f>
        <v>0</v>
      </c>
      <c r="E135" s="324">
        <f>N20</f>
        <v>0</v>
      </c>
      <c r="G135" s="452" t="s">
        <v>334</v>
      </c>
      <c r="H135" s="327" t="s">
        <v>353</v>
      </c>
      <c r="I135" s="315">
        <f>K15</f>
        <v>0</v>
      </c>
      <c r="J135" s="324">
        <f>N15</f>
        <v>0</v>
      </c>
    </row>
    <row r="136" spans="2:10" ht="49.9" customHeight="1" x14ac:dyDescent="0.25">
      <c r="B136" s="316" t="s">
        <v>355</v>
      </c>
      <c r="C136" s="317" t="s">
        <v>353</v>
      </c>
      <c r="D136" s="318" t="e">
        <f>C80</f>
        <v>#N/A</v>
      </c>
      <c r="E136" s="319" t="e">
        <f>C116</f>
        <v>#N/A</v>
      </c>
      <c r="G136" s="453" t="s">
        <v>468</v>
      </c>
      <c r="H136" s="328" t="s">
        <v>353</v>
      </c>
      <c r="I136" s="318" t="e">
        <f>F76+K76</f>
        <v>#N/A</v>
      </c>
      <c r="J136" s="319" t="e">
        <f>I136+(F110+K110)</f>
        <v>#N/A</v>
      </c>
    </row>
    <row r="137" spans="2:10" ht="49.9" customHeight="1" x14ac:dyDescent="0.25">
      <c r="B137" s="320" t="s">
        <v>475</v>
      </c>
      <c r="C137" s="321" t="s">
        <v>784</v>
      </c>
      <c r="D137" s="488" t="e">
        <f>(D138/$C$15)</f>
        <v>#DIV/0!</v>
      </c>
      <c r="E137" s="322" t="s">
        <v>107</v>
      </c>
      <c r="G137" s="395" t="s">
        <v>335</v>
      </c>
      <c r="H137" s="246"/>
      <c r="I137" s="230"/>
      <c r="J137" s="225"/>
    </row>
    <row r="138" spans="2:10" ht="49.9" customHeight="1" x14ac:dyDescent="0.25">
      <c r="B138" s="320" t="s">
        <v>402</v>
      </c>
      <c r="C138" s="321" t="s">
        <v>353</v>
      </c>
      <c r="D138" s="448">
        <f>SUM($K$13:$K$17)</f>
        <v>0</v>
      </c>
      <c r="E138" s="322" t="s">
        <v>107</v>
      </c>
      <c r="G138" s="451" t="s">
        <v>467</v>
      </c>
      <c r="H138" s="326" t="s">
        <v>353</v>
      </c>
      <c r="I138" s="363" t="str">
        <f>IFERROR(I139-I140,"")</f>
        <v/>
      </c>
      <c r="J138" s="363" t="e">
        <f>J139-J140</f>
        <v>#VALUE!</v>
      </c>
    </row>
    <row r="139" spans="2:10" ht="49.9" customHeight="1" x14ac:dyDescent="0.25">
      <c r="B139" s="320" t="s">
        <v>466</v>
      </c>
      <c r="C139" s="323" t="s">
        <v>357</v>
      </c>
      <c r="D139" s="325" t="e">
        <f>D134*$Y$13</f>
        <v>#N/A</v>
      </c>
      <c r="E139" s="338" t="e">
        <f>E134*$Y$13</f>
        <v>#N/A</v>
      </c>
      <c r="G139" s="452" t="s">
        <v>334</v>
      </c>
      <c r="H139" s="327" t="s">
        <v>353</v>
      </c>
      <c r="I139" s="315">
        <f>IFERROR(K16,"")</f>
        <v>0</v>
      </c>
      <c r="J139" s="324">
        <f>N16</f>
        <v>0</v>
      </c>
    </row>
    <row r="140" spans="2:10" ht="49.9" customHeight="1" x14ac:dyDescent="0.25">
      <c r="B140" s="87"/>
      <c r="C140" s="88"/>
      <c r="D140" s="244"/>
      <c r="E140" s="88"/>
      <c r="G140" s="453" t="s">
        <v>468</v>
      </c>
      <c r="H140" s="328" t="s">
        <v>353</v>
      </c>
      <c r="I140" s="318" t="str">
        <f>IFERROR(G76+L76,"")</f>
        <v/>
      </c>
      <c r="J140" s="319" t="str">
        <f>IFERROR(I140+G110+L110,"")</f>
        <v/>
      </c>
    </row>
    <row r="141" spans="2:10" ht="49.9" customHeight="1" x14ac:dyDescent="0.25">
      <c r="B141" s="533"/>
      <c r="C141" s="533"/>
      <c r="D141" s="533"/>
      <c r="E141" s="533"/>
      <c r="G141" s="395" t="s">
        <v>336</v>
      </c>
      <c r="H141" s="246"/>
      <c r="I141" s="230"/>
      <c r="J141" s="225"/>
    </row>
    <row r="142" spans="2:10" ht="49.9" customHeight="1" x14ac:dyDescent="0.25">
      <c r="B142" s="223"/>
      <c r="C142" s="211"/>
      <c r="D142" s="211"/>
      <c r="E142" s="211"/>
      <c r="G142" s="451" t="s">
        <v>467</v>
      </c>
      <c r="H142" s="241" t="s">
        <v>136</v>
      </c>
      <c r="I142" s="363" t="e">
        <f>I143-I144</f>
        <v>#N/A</v>
      </c>
      <c r="J142" s="363" t="e">
        <f>J143-J144</f>
        <v>#N/A</v>
      </c>
    </row>
    <row r="143" spans="2:10" ht="49.9" customHeight="1" x14ac:dyDescent="0.25">
      <c r="B143" s="291"/>
      <c r="C143" s="394"/>
      <c r="D143" s="731"/>
      <c r="E143" s="732"/>
      <c r="G143" s="452" t="s">
        <v>334</v>
      </c>
      <c r="H143" s="242" t="s">
        <v>136</v>
      </c>
      <c r="I143" s="237">
        <f>K17</f>
        <v>0</v>
      </c>
      <c r="J143" s="240">
        <f>N17</f>
        <v>0</v>
      </c>
    </row>
    <row r="144" spans="2:10" ht="49.9" customHeight="1" x14ac:dyDescent="0.25">
      <c r="B144" s="291"/>
      <c r="C144" s="394"/>
      <c r="D144" s="730"/>
      <c r="E144" s="733"/>
      <c r="G144" s="453" t="s">
        <v>468</v>
      </c>
      <c r="H144" s="243" t="s">
        <v>136</v>
      </c>
      <c r="I144" s="238" t="e">
        <f>H76+M76</f>
        <v>#N/A</v>
      </c>
      <c r="J144" s="239" t="e">
        <f>I144+H110+M110</f>
        <v>#N/A</v>
      </c>
    </row>
    <row r="145" spans="2:6" ht="49.9" customHeight="1" x14ac:dyDescent="0.25">
      <c r="B145" s="291"/>
      <c r="C145" s="394"/>
      <c r="D145" s="734"/>
      <c r="E145" s="735"/>
    </row>
    <row r="146" spans="2:6" ht="49.9" customHeight="1" x14ac:dyDescent="0.25">
      <c r="B146" s="291"/>
      <c r="C146" s="394"/>
      <c r="D146" s="503"/>
      <c r="E146" s="730"/>
    </row>
    <row r="147" spans="2:6" ht="49.9" customHeight="1" x14ac:dyDescent="0.25">
      <c r="B147" s="291"/>
      <c r="C147" s="394"/>
      <c r="D147" s="730"/>
      <c r="E147" s="730"/>
      <c r="F147" s="485"/>
    </row>
    <row r="148" spans="2:6" ht="49.9" customHeight="1" x14ac:dyDescent="0.25">
      <c r="B148" s="291"/>
      <c r="C148" s="307"/>
      <c r="D148" s="653"/>
      <c r="E148" s="653"/>
    </row>
  </sheetData>
  <mergeCells count="3">
    <mergeCell ref="K111:L111"/>
    <mergeCell ref="Z8:AD8"/>
    <mergeCell ref="G123:J123"/>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770" id="{BFDA6CB0-563A-45B0-AB20-42E88E3BAEDB}">
            <xm:f>IF($E$42=FAListas!$C$6,TRUE, IF($E$42=FAListas!#REF!, TRUE,""))</xm:f>
            <x14:dxf>
              <fill>
                <patternFill>
                  <bgColor theme="1"/>
                </patternFill>
              </fill>
            </x14:dxf>
          </x14:cfRule>
          <xm:sqref>D125:E125 I126:J126 I130:J130 D134:E134 I134:J134 I138:J138 I142:J142 D143:E143</xm:sqref>
        </x14:conditionalFormatting>
        <x14:conditionalFormatting xmlns:xm="http://schemas.microsoft.com/office/excel/2006/main">
          <x14:cfRule type="expression" priority="771" id="{77DCB6FD-89CA-4819-9493-A7914684FDF1}">
            <xm:f>IF($F$57=FAListas!$C$6,TRUE, IF($F$57=FAListas!#REF!, TRUE,""))</xm:f>
            <x14:dxf>
              <fill>
                <patternFill>
                  <bgColor theme="1"/>
                </patternFill>
              </fill>
            </x14:dxf>
          </x14:cfRule>
          <xm:sqref>D126:E130</xm:sqref>
        </x14:conditionalFormatting>
        <x14:conditionalFormatting xmlns:xm="http://schemas.microsoft.com/office/excel/2006/main">
          <x14:cfRule type="expression" priority="773" id="{AE1C4D13-7E22-4588-B7CA-7A7A7F3A8D45}">
            <xm:f>$F$57=FAListas!#REF!</xm:f>
            <x14:dxf>
              <fill>
                <patternFill>
                  <bgColor theme="1"/>
                </patternFill>
              </fill>
            </x14:dxf>
          </x14:cfRule>
          <xm:sqref>D135:E139 D146:E148</xm:sqref>
        </x14:conditionalFormatting>
        <x14:conditionalFormatting xmlns:xm="http://schemas.microsoft.com/office/excel/2006/main">
          <x14:cfRule type="expression" priority="18" id="{7672CB12-8A3C-4153-BA0C-EB66EAA9515C}">
            <xm:f>$F$57=FAListas!$C$6</xm:f>
            <x14:dxf>
              <fill>
                <patternFill>
                  <bgColor theme="1"/>
                </patternFill>
              </fill>
            </x14:dxf>
          </x14:cfRule>
          <xm:sqref>D144:E145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Início</vt:lpstr>
      <vt:lpstr>Dados gerais</vt:lpstr>
      <vt:lpstr>Índice</vt:lpstr>
      <vt:lpstr>PFs_Instruções e PFs</vt:lpstr>
      <vt:lpstr>TR_Triagem</vt:lpstr>
      <vt:lpstr>ID_Identificação do projeto</vt:lpstr>
      <vt:lpstr>IC_todos os projetos</vt:lpstr>
      <vt:lpstr>TM1_micromobilidade </vt:lpstr>
      <vt:lpstr>FACalc_micromobilidade</vt:lpstr>
      <vt:lpstr>TM2_rodovia</vt:lpstr>
      <vt:lpstr>TM3_ferrovia e metro</vt:lpstr>
      <vt:lpstr>FACalc_rodovia</vt:lpstr>
      <vt:lpstr>FACalc_ferrovia</vt:lpstr>
      <vt:lpstr>TM4_vias navegáveis interiores</vt:lpstr>
      <vt:lpstr>FACalc_vias navegáveis int.</vt:lpstr>
      <vt:lpstr>TM5_parques de estacionamento</vt:lpstr>
      <vt:lpstr>FAListas</vt:lpstr>
      <vt:lpstr>FACalc_parquesestacionamento</vt:lpstr>
      <vt:lpstr>RE_resultados</vt:lpstr>
      <vt:lpstr>Cálculos adicionais_utilizador</vt:lpstr>
      <vt:lpstr>Glossário</vt:lpstr>
      <vt:lpstr>Fatores de Emissão</vt:lpstr>
      <vt:lpstr>Fatores de Conversão</vt:lpstr>
      <vt:lpstr>Ficha técnica+ atualizações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Tiago</dc:creator>
  <cp:lastModifiedBy>Ricardo da Silva Vieira</cp:lastModifiedBy>
  <dcterms:created xsi:type="dcterms:W3CDTF">2023-04-30T14:56:45Z</dcterms:created>
  <dcterms:modified xsi:type="dcterms:W3CDTF">2026-01-23T15:01:36Z</dcterms:modified>
</cp:coreProperties>
</file>